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data\privat\"/>
    </mc:Choice>
  </mc:AlternateContent>
  <xr:revisionPtr revIDLastSave="0" documentId="13_ncr:1_{470F54EF-058E-4F4B-84E6-24457D5A39F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  <sheet name="fakturac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2" l="1"/>
  <c r="O32" i="2"/>
  <c r="P32" i="2" s="1"/>
  <c r="Q32" i="2" s="1"/>
  <c r="H32" i="2"/>
  <c r="S31" i="2"/>
  <c r="O31" i="2"/>
  <c r="P31" i="2" s="1"/>
  <c r="Q31" i="2" s="1"/>
  <c r="H31" i="2"/>
  <c r="T30" i="2"/>
  <c r="S30" i="2"/>
  <c r="O30" i="2"/>
  <c r="H30" i="2"/>
  <c r="P30" i="2" s="1"/>
  <c r="Q30" i="2" s="1"/>
  <c r="K34" i="1"/>
  <c r="E34" i="1"/>
  <c r="J34" i="1"/>
  <c r="J33" i="1"/>
  <c r="K33" i="1"/>
  <c r="J32" i="1"/>
  <c r="K32" i="1"/>
  <c r="J31" i="1"/>
  <c r="K31" i="1"/>
  <c r="E33" i="1"/>
  <c r="D36" i="1"/>
  <c r="C36" i="1"/>
  <c r="E32" i="1"/>
  <c r="E31" i="1"/>
  <c r="S29" i="2"/>
  <c r="H29" i="2"/>
  <c r="S28" i="2"/>
  <c r="H28" i="2"/>
  <c r="T27" i="2"/>
  <c r="S27" i="2"/>
  <c r="O29" i="2"/>
  <c r="O28" i="2"/>
  <c r="P28" i="2" s="1"/>
  <c r="Q28" i="2" s="1"/>
  <c r="O27" i="2"/>
  <c r="P27" i="2" s="1"/>
  <c r="Q27" i="2" s="1"/>
  <c r="H27" i="2"/>
  <c r="J30" i="1"/>
  <c r="K30" i="1"/>
  <c r="J29" i="1"/>
  <c r="K29" i="1"/>
  <c r="J28" i="1"/>
  <c r="K28" i="1"/>
  <c r="E30" i="1"/>
  <c r="E29" i="1"/>
  <c r="E28" i="1"/>
  <c r="S26" i="2"/>
  <c r="O26" i="2"/>
  <c r="P26" i="2" s="1"/>
  <c r="Q26" i="2" s="1"/>
  <c r="H26" i="2"/>
  <c r="O25" i="2"/>
  <c r="P25" i="2" s="1"/>
  <c r="Q25" i="2" s="1"/>
  <c r="H25" i="2"/>
  <c r="S24" i="2"/>
  <c r="S25" i="2"/>
  <c r="T24" i="2"/>
  <c r="U24" i="2" s="1"/>
  <c r="O24" i="2"/>
  <c r="P24" i="2" s="1"/>
  <c r="Q24" i="2" s="1"/>
  <c r="H24" i="2"/>
  <c r="T23" i="2"/>
  <c r="U23" i="2" s="1"/>
  <c r="S23" i="2"/>
  <c r="O23" i="2"/>
  <c r="H23" i="2"/>
  <c r="T22" i="2"/>
  <c r="U22" i="2" s="1"/>
  <c r="S22" i="2"/>
  <c r="O22" i="2"/>
  <c r="H22" i="2"/>
  <c r="E27" i="1"/>
  <c r="K27" i="1"/>
  <c r="E26" i="1"/>
  <c r="K26" i="1"/>
  <c r="E25" i="1"/>
  <c r="K25" i="1"/>
  <c r="J27" i="1"/>
  <c r="J26" i="1"/>
  <c r="J25" i="1"/>
  <c r="J23" i="1"/>
  <c r="J22" i="1"/>
  <c r="K22" i="1"/>
  <c r="K24" i="1"/>
  <c r="J24" i="1"/>
  <c r="E24" i="1"/>
  <c r="G37" i="1"/>
  <c r="F37" i="1"/>
  <c r="D37" i="1"/>
  <c r="C37" i="1"/>
  <c r="D23" i="1"/>
  <c r="C23" i="1"/>
  <c r="L36" i="1"/>
  <c r="I36" i="1"/>
  <c r="H36" i="1"/>
  <c r="G36" i="1"/>
  <c r="F36" i="1"/>
  <c r="E22" i="1"/>
  <c r="U17" i="2"/>
  <c r="U18" i="2"/>
  <c r="U19" i="2"/>
  <c r="U20" i="2"/>
  <c r="U21" i="2"/>
  <c r="S21" i="2"/>
  <c r="T21" i="2" s="1"/>
  <c r="O21" i="2"/>
  <c r="H21" i="2"/>
  <c r="T20" i="2"/>
  <c r="S20" i="2"/>
  <c r="O20" i="2"/>
  <c r="H20" i="2"/>
  <c r="E21" i="1"/>
  <c r="K21" i="1"/>
  <c r="J21" i="1"/>
  <c r="J20" i="1"/>
  <c r="K20" i="1"/>
  <c r="E20" i="1"/>
  <c r="T19" i="2"/>
  <c r="S19" i="2"/>
  <c r="O19" i="2"/>
  <c r="H19" i="2"/>
  <c r="P19" i="2" s="1"/>
  <c r="Q19" i="2" s="1"/>
  <c r="J19" i="1"/>
  <c r="K19" i="1"/>
  <c r="E18" i="1"/>
  <c r="E19" i="1"/>
  <c r="T18" i="2"/>
  <c r="S18" i="2"/>
  <c r="O18" i="2"/>
  <c r="H18" i="2"/>
  <c r="P18" i="2" s="1"/>
  <c r="Q18" i="2" s="1"/>
  <c r="K18" i="1"/>
  <c r="J18" i="1"/>
  <c r="T17" i="2"/>
  <c r="S17" i="2"/>
  <c r="O17" i="2"/>
  <c r="H17" i="2"/>
  <c r="P17" i="2" s="1"/>
  <c r="Q17" i="2" s="1"/>
  <c r="J17" i="1"/>
  <c r="S16" i="2"/>
  <c r="O16" i="2"/>
  <c r="H16" i="2"/>
  <c r="P16" i="2" s="1"/>
  <c r="Q16" i="2" s="1"/>
  <c r="E17" i="1"/>
  <c r="K17" i="1"/>
  <c r="J16" i="1"/>
  <c r="K16" i="1"/>
  <c r="E16" i="1"/>
  <c r="T15" i="2"/>
  <c r="T16" i="2" s="1"/>
  <c r="S15" i="2"/>
  <c r="O15" i="2"/>
  <c r="H15" i="2"/>
  <c r="P15" i="2" s="1"/>
  <c r="Q15" i="2" s="1"/>
  <c r="J15" i="1"/>
  <c r="K15" i="1"/>
  <c r="E15" i="1"/>
  <c r="T14" i="2"/>
  <c r="S14" i="2"/>
  <c r="O14" i="2"/>
  <c r="H14" i="2"/>
  <c r="S13" i="2"/>
  <c r="S12" i="2"/>
  <c r="S11" i="2"/>
  <c r="T11" i="2" s="1"/>
  <c r="O13" i="2"/>
  <c r="P13" i="2" s="1"/>
  <c r="Q13" i="2" s="1"/>
  <c r="O12" i="2"/>
  <c r="P12" i="2" s="1"/>
  <c r="Q12" i="2" s="1"/>
  <c r="O11" i="2"/>
  <c r="H13" i="2"/>
  <c r="H12" i="2"/>
  <c r="H11" i="2"/>
  <c r="J14" i="1"/>
  <c r="K14" i="1"/>
  <c r="E14" i="1"/>
  <c r="E13" i="1"/>
  <c r="K13" i="1"/>
  <c r="J13" i="1"/>
  <c r="E12" i="1"/>
  <c r="K12" i="1"/>
  <c r="J12" i="1"/>
  <c r="L23" i="1"/>
  <c r="K11" i="1"/>
  <c r="J11" i="1"/>
  <c r="E11" i="1"/>
  <c r="T10" i="2"/>
  <c r="T9" i="2"/>
  <c r="T8" i="2"/>
  <c r="S8" i="2"/>
  <c r="T3" i="2"/>
  <c r="T4" i="2" s="1"/>
  <c r="T5" i="2" s="1"/>
  <c r="T6" i="2" s="1"/>
  <c r="T7" i="2" s="1"/>
  <c r="G9" i="1"/>
  <c r="F9" i="1"/>
  <c r="J9" i="1"/>
  <c r="D10" i="1"/>
  <c r="C10" i="1"/>
  <c r="P9" i="2"/>
  <c r="Q9" i="2" s="1"/>
  <c r="J8" i="1"/>
  <c r="K8" i="1"/>
  <c r="E8" i="1"/>
  <c r="P5" i="2"/>
  <c r="Q5" i="2" s="1"/>
  <c r="N8" i="2"/>
  <c r="M8" i="2"/>
  <c r="L8" i="2"/>
  <c r="K8" i="2"/>
  <c r="O8" i="2" s="1"/>
  <c r="J8" i="2"/>
  <c r="I8" i="2"/>
  <c r="O10" i="2"/>
  <c r="O9" i="2"/>
  <c r="O7" i="2"/>
  <c r="O6" i="2"/>
  <c r="O5" i="2"/>
  <c r="O4" i="2"/>
  <c r="O3" i="2"/>
  <c r="H10" i="2"/>
  <c r="P10" i="2" s="1"/>
  <c r="Q10" i="2" s="1"/>
  <c r="H9" i="2"/>
  <c r="H8" i="2"/>
  <c r="P8" i="2" s="1"/>
  <c r="Q8" i="2" s="1"/>
  <c r="H7" i="2"/>
  <c r="P7" i="2" s="1"/>
  <c r="Q7" i="2" s="1"/>
  <c r="H6" i="2"/>
  <c r="H5" i="2"/>
  <c r="H4" i="2"/>
  <c r="P4" i="2" s="1"/>
  <c r="Q4" i="2" s="1"/>
  <c r="H3" i="2"/>
  <c r="P3" i="2" s="1"/>
  <c r="Q3" i="2" s="1"/>
  <c r="L2" i="1" s="1"/>
  <c r="L10" i="1" s="1"/>
  <c r="J7" i="1"/>
  <c r="E7" i="1"/>
  <c r="K7" i="1"/>
  <c r="E6" i="1"/>
  <c r="K6" i="1"/>
  <c r="J6" i="1"/>
  <c r="K5" i="1"/>
  <c r="J5" i="1"/>
  <c r="E5" i="1"/>
  <c r="K3" i="1"/>
  <c r="K2" i="1"/>
  <c r="F4" i="1"/>
  <c r="K4" i="1" s="1"/>
  <c r="G4" i="1"/>
  <c r="J4" i="1"/>
  <c r="J3" i="1"/>
  <c r="E3" i="1"/>
  <c r="I23" i="1"/>
  <c r="I37" i="1" s="1"/>
  <c r="H23" i="1"/>
  <c r="H37" i="1" s="1"/>
  <c r="G23" i="1"/>
  <c r="F23" i="1"/>
  <c r="I10" i="1"/>
  <c r="H10" i="1"/>
  <c r="G10" i="1"/>
  <c r="J2" i="1"/>
  <c r="E2" i="1"/>
  <c r="T31" i="2" l="1"/>
  <c r="U31" i="2" s="1"/>
  <c r="T32" i="2"/>
  <c r="U32" i="2" s="1"/>
  <c r="U30" i="2"/>
  <c r="E37" i="1"/>
  <c r="E36" i="1"/>
  <c r="P29" i="2"/>
  <c r="Q29" i="2" s="1"/>
  <c r="T28" i="2"/>
  <c r="U28" i="2" s="1"/>
  <c r="T29" i="2"/>
  <c r="U29" i="2" s="1"/>
  <c r="U27" i="2"/>
  <c r="J36" i="1"/>
  <c r="K36" i="1"/>
  <c r="T25" i="2"/>
  <c r="T26" i="2" s="1"/>
  <c r="U26" i="2" s="1"/>
  <c r="P23" i="2"/>
  <c r="Q23" i="2" s="1"/>
  <c r="L37" i="1"/>
  <c r="P14" i="2"/>
  <c r="Q14" i="2" s="1"/>
  <c r="P21" i="2"/>
  <c r="Q21" i="2" s="1"/>
  <c r="P6" i="2"/>
  <c r="Q6" i="2" s="1"/>
  <c r="P11" i="2"/>
  <c r="Q11" i="2" s="1"/>
  <c r="P22" i="2"/>
  <c r="Q22" i="2" s="1"/>
  <c r="J37" i="1"/>
  <c r="E23" i="1"/>
  <c r="F10" i="1"/>
  <c r="K23" i="1"/>
  <c r="K37" i="1" s="1"/>
  <c r="P20" i="2"/>
  <c r="Q20" i="2" s="1"/>
  <c r="T12" i="2"/>
  <c r="T13" i="2" s="1"/>
  <c r="E9" i="1"/>
  <c r="K9" i="1"/>
  <c r="K10" i="1" s="1"/>
  <c r="J10" i="1"/>
  <c r="E4" i="1"/>
  <c r="U25" i="2" l="1"/>
  <c r="E10" i="1"/>
</calcChain>
</file>

<file path=xl/sharedStrings.xml><?xml version="1.0" encoding="utf-8"?>
<sst xmlns="http://schemas.openxmlformats.org/spreadsheetml/2006/main" count="102" uniqueCount="44">
  <si>
    <t>rok</t>
  </si>
  <si>
    <t>měsíc</t>
  </si>
  <si>
    <t>odhad</t>
  </si>
  <si>
    <t>odhad e.on</t>
  </si>
  <si>
    <t>výroba</t>
  </si>
  <si>
    <t>self-use</t>
  </si>
  <si>
    <t>feed-in</t>
  </si>
  <si>
    <t>feed-in ČEZ</t>
  </si>
  <si>
    <t>feed-out ČEZ</t>
  </si>
  <si>
    <t>balance</t>
  </si>
  <si>
    <t>spotřeba</t>
  </si>
  <si>
    <t>faktura</t>
  </si>
  <si>
    <t>srpen</t>
  </si>
  <si>
    <t>září</t>
  </si>
  <si>
    <t>říjen</t>
  </si>
  <si>
    <t>listopad</t>
  </si>
  <si>
    <t>prosinec</t>
  </si>
  <si>
    <t>leden</t>
  </si>
  <si>
    <t>únor</t>
  </si>
  <si>
    <t>březen</t>
  </si>
  <si>
    <t>2023 Total</t>
  </si>
  <si>
    <t>duben</t>
  </si>
  <si>
    <t>květen</t>
  </si>
  <si>
    <t>červen</t>
  </si>
  <si>
    <t>červenec</t>
  </si>
  <si>
    <t>2024 Total</t>
  </si>
  <si>
    <t>2025 Total</t>
  </si>
  <si>
    <t>Grand Total</t>
  </si>
  <si>
    <t>dodávka</t>
  </si>
  <si>
    <t>distribuce</t>
  </si>
  <si>
    <t>celkem</t>
  </si>
  <si>
    <t>VB</t>
  </si>
  <si>
    <t>VT</t>
  </si>
  <si>
    <t>NT</t>
  </si>
  <si>
    <t>stálý
plat</t>
  </si>
  <si>
    <t>daň</t>
  </si>
  <si>
    <t>příkon</t>
  </si>
  <si>
    <t>systémové
služby</t>
  </si>
  <si>
    <t>operátor</t>
  </si>
  <si>
    <t>OZE</t>
  </si>
  <si>
    <t>bez DPH</t>
  </si>
  <si>
    <t>s DPH</t>
  </si>
  <si>
    <t>in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</si>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</sst>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 wrapText="1"/>
    </xf>
    <xf numFmtId="0" fontId="3" fillId="0" borderId="0" xfId="0" applyFont="1"/>
    <xf numFmtId="0" fontId="3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0" fontId="2" fillId="0" borderId="0" xfId="0" applyFont="1"/>
    <xf numFmtId="3" fontId="3" fillId="0" borderId="0" xfId="0" applyNumberFormat="1" applyFont="1"/>
    <xf numFmtId="164" fontId="3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3" fontId="3" fillId="0" borderId="0" xfId="1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5" fillId="2" borderId="1" xfId="0" applyNumberFormat="1" applyFont="1" applyFill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1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3" fontId="6" fillId="0" borderId="1" xfId="0" applyNumberFormat="1" applyFont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workbookViewId="0">
      <selection activeCell="L33" sqref="L33"/>
    </sheetView>
  </sheetViews>
  <sheetFormatPr defaultColWidth="9.140625" defaultRowHeight="18.75" outlineLevelRow="2" x14ac:dyDescent="0.3"/>
  <cols>
    <col min="1" max="1" width="7.85546875" style="4" customWidth="1"/>
    <col min="2" max="2" width="11.140625" style="4" bestFit="1" customWidth="1"/>
    <col min="3" max="3" width="9" style="8" bestFit="1" customWidth="1"/>
    <col min="4" max="4" width="8.7109375" style="8" customWidth="1"/>
    <col min="5" max="5" width="9" style="8" bestFit="1" customWidth="1"/>
    <col min="6" max="6" width="10.28515625" style="8" bestFit="1" customWidth="1"/>
    <col min="7" max="7" width="9.42578125" style="8" bestFit="1" customWidth="1"/>
    <col min="8" max="8" width="8.85546875" style="8" customWidth="1"/>
    <col min="9" max="9" width="10.85546875" style="8" customWidth="1"/>
    <col min="10" max="10" width="10" style="8" bestFit="1" customWidth="1"/>
    <col min="11" max="11" width="11.28515625" style="4" customWidth="1"/>
    <col min="12" max="16384" width="9.140625" style="4"/>
  </cols>
  <sheetData>
    <row r="1" spans="1:12" ht="41.25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3" t="s">
        <v>10</v>
      </c>
      <c r="L1" s="3" t="s">
        <v>11</v>
      </c>
    </row>
    <row r="2" spans="1:12" outlineLevel="2" x14ac:dyDescent="0.3">
      <c r="A2" s="5">
        <v>2023</v>
      </c>
      <c r="B2" s="5" t="s">
        <v>12</v>
      </c>
      <c r="C2" s="6">
        <v>1175.1199999999999</v>
      </c>
      <c r="D2" s="6">
        <v>1420.02</v>
      </c>
      <c r="E2" s="6">
        <f t="shared" ref="E2:E34" si="0">F2+G2</f>
        <v>1204.5999999999999</v>
      </c>
      <c r="F2" s="6">
        <v>322.10000000000002</v>
      </c>
      <c r="G2" s="6">
        <v>882.5</v>
      </c>
      <c r="H2" s="6">
        <v>907.75099999999998</v>
      </c>
      <c r="I2" s="6">
        <v>29</v>
      </c>
      <c r="J2" s="9">
        <f t="shared" ref="J2:J22" si="1">H2-I2</f>
        <v>878.75099999999998</v>
      </c>
      <c r="K2" s="6">
        <f t="shared" ref="K2:K22" si="2">F2+I2</f>
        <v>351.1</v>
      </c>
      <c r="L2" s="6">
        <f>fakturace!$Q$3</f>
        <v>790.22679999999991</v>
      </c>
    </row>
    <row r="3" spans="1:12" outlineLevel="2" x14ac:dyDescent="0.3">
      <c r="A3" s="5">
        <v>2023</v>
      </c>
      <c r="B3" s="5" t="s">
        <v>13</v>
      </c>
      <c r="C3" s="6">
        <v>998.16</v>
      </c>
      <c r="D3" s="6">
        <v>710.01</v>
      </c>
      <c r="E3" s="6">
        <f t="shared" si="0"/>
        <v>1364.6999999999998</v>
      </c>
      <c r="F3" s="6">
        <v>256.89999999999998</v>
      </c>
      <c r="G3" s="6">
        <v>1107.8</v>
      </c>
      <c r="H3" s="6">
        <v>1137.7360000000001</v>
      </c>
      <c r="I3" s="6">
        <v>15.327</v>
      </c>
      <c r="J3" s="9">
        <f t="shared" si="1"/>
        <v>1122.4090000000001</v>
      </c>
      <c r="K3" s="6">
        <f t="shared" si="2"/>
        <v>272.22699999999998</v>
      </c>
      <c r="L3" s="6">
        <v>838.94</v>
      </c>
    </row>
    <row r="4" spans="1:12" outlineLevel="2" x14ac:dyDescent="0.3">
      <c r="A4" s="5">
        <v>2023</v>
      </c>
      <c r="B4" s="5" t="s">
        <v>14</v>
      </c>
      <c r="C4" s="6">
        <v>718.45</v>
      </c>
      <c r="D4" s="6">
        <v>507.15</v>
      </c>
      <c r="E4" s="6">
        <f t="shared" si="0"/>
        <v>832.6</v>
      </c>
      <c r="F4" s="6">
        <f>317.5-40</f>
        <v>277.5</v>
      </c>
      <c r="G4" s="6">
        <f>515.1+40</f>
        <v>555.1</v>
      </c>
      <c r="H4" s="6">
        <v>576.12699999999995</v>
      </c>
      <c r="I4" s="6">
        <v>76.281999999999996</v>
      </c>
      <c r="J4" s="9">
        <f t="shared" si="1"/>
        <v>499.84499999999997</v>
      </c>
      <c r="K4" s="6">
        <f t="shared" si="2"/>
        <v>353.78199999999998</v>
      </c>
      <c r="L4" s="6">
        <v>914.37</v>
      </c>
    </row>
    <row r="5" spans="1:12" outlineLevel="2" x14ac:dyDescent="0.3">
      <c r="A5" s="5">
        <v>2023</v>
      </c>
      <c r="B5" s="5" t="s">
        <v>15</v>
      </c>
      <c r="C5" s="6">
        <v>409.78</v>
      </c>
      <c r="D5" s="6">
        <v>202.86</v>
      </c>
      <c r="E5" s="6">
        <f t="shared" si="0"/>
        <v>421.5</v>
      </c>
      <c r="F5" s="6">
        <v>253.2</v>
      </c>
      <c r="G5" s="6">
        <v>168.3</v>
      </c>
      <c r="H5" s="6">
        <v>180.74299999999999</v>
      </c>
      <c r="I5" s="6">
        <v>419.34100000000001</v>
      </c>
      <c r="J5" s="9">
        <f t="shared" si="1"/>
        <v>-238.59800000000001</v>
      </c>
      <c r="K5" s="6">
        <f t="shared" si="2"/>
        <v>672.54099999999994</v>
      </c>
      <c r="L5" s="6">
        <v>1102.43</v>
      </c>
    </row>
    <row r="6" spans="1:12" outlineLevel="2" x14ac:dyDescent="0.3">
      <c r="A6" s="5">
        <v>2023</v>
      </c>
      <c r="B6" s="5" t="s">
        <v>16</v>
      </c>
      <c r="C6" s="6">
        <v>359.19</v>
      </c>
      <c r="D6" s="6">
        <v>202.86</v>
      </c>
      <c r="E6" s="6">
        <f t="shared" si="0"/>
        <v>259</v>
      </c>
      <c r="F6" s="6">
        <v>146.19999999999999</v>
      </c>
      <c r="G6" s="6">
        <v>112.8</v>
      </c>
      <c r="H6" s="6">
        <v>117.846</v>
      </c>
      <c r="I6" s="6">
        <v>805.99800000000005</v>
      </c>
      <c r="J6" s="9">
        <f t="shared" si="1"/>
        <v>-688.15200000000004</v>
      </c>
      <c r="K6" s="6">
        <f t="shared" si="2"/>
        <v>952.19800000000009</v>
      </c>
      <c r="L6" s="6">
        <v>1266.23</v>
      </c>
    </row>
    <row r="7" spans="1:12" outlineLevel="2" x14ac:dyDescent="0.3">
      <c r="A7" s="5">
        <v>2024</v>
      </c>
      <c r="B7" s="5" t="s">
        <v>17</v>
      </c>
      <c r="C7" s="6">
        <v>378.48</v>
      </c>
      <c r="D7" s="6">
        <v>202.86</v>
      </c>
      <c r="E7" s="6">
        <f t="shared" si="0"/>
        <v>458.2</v>
      </c>
      <c r="F7" s="6">
        <v>275</v>
      </c>
      <c r="G7" s="6">
        <v>183.2</v>
      </c>
      <c r="H7" s="6">
        <v>188.82599999999999</v>
      </c>
      <c r="I7" s="6">
        <v>1019.702</v>
      </c>
      <c r="J7" s="9">
        <f t="shared" si="1"/>
        <v>-830.87599999999998</v>
      </c>
      <c r="K7" s="6">
        <f t="shared" si="2"/>
        <v>1294.702</v>
      </c>
      <c r="L7" s="6">
        <v>2636.57</v>
      </c>
    </row>
    <row r="8" spans="1:12" outlineLevel="2" x14ac:dyDescent="0.3">
      <c r="A8" s="5">
        <v>2024</v>
      </c>
      <c r="B8" s="5" t="s">
        <v>18</v>
      </c>
      <c r="C8" s="6">
        <v>583</v>
      </c>
      <c r="D8" s="6">
        <v>304.29000000000002</v>
      </c>
      <c r="E8" s="6">
        <f t="shared" si="0"/>
        <v>444.20000000000005</v>
      </c>
      <c r="F8" s="6">
        <v>269.8</v>
      </c>
      <c r="G8" s="6">
        <v>174.4</v>
      </c>
      <c r="H8" s="6">
        <v>182.21700000000001</v>
      </c>
      <c r="I8" s="6">
        <v>487.11</v>
      </c>
      <c r="J8" s="9">
        <f t="shared" si="1"/>
        <v>-304.89300000000003</v>
      </c>
      <c r="K8" s="6">
        <f t="shared" si="2"/>
        <v>756.91000000000008</v>
      </c>
      <c r="L8" s="6">
        <v>1931.72</v>
      </c>
    </row>
    <row r="9" spans="1:12" outlineLevel="2" x14ac:dyDescent="0.3">
      <c r="A9" s="5">
        <v>2024</v>
      </c>
      <c r="B9" s="5" t="s">
        <v>19</v>
      </c>
      <c r="C9" s="6">
        <v>891.98</v>
      </c>
      <c r="D9" s="6">
        <v>710.01</v>
      </c>
      <c r="E9" s="6">
        <f t="shared" si="0"/>
        <v>987.26700000000005</v>
      </c>
      <c r="F9" s="6">
        <f>456+10</f>
        <v>466</v>
      </c>
      <c r="G9" s="6">
        <f>512.2+9.467-0.4</f>
        <v>521.26700000000005</v>
      </c>
      <c r="H9" s="6">
        <v>529.50699999999995</v>
      </c>
      <c r="I9" s="6">
        <v>205.28899999999999</v>
      </c>
      <c r="J9" s="9">
        <f t="shared" si="1"/>
        <v>324.21799999999996</v>
      </c>
      <c r="K9" s="6">
        <f t="shared" si="2"/>
        <v>671.28899999999999</v>
      </c>
      <c r="L9" s="6">
        <v>1567.66</v>
      </c>
    </row>
    <row r="10" spans="1:12" s="7" customFormat="1" outlineLevel="1" x14ac:dyDescent="0.3">
      <c r="A10" s="22" t="s">
        <v>20</v>
      </c>
      <c r="B10" s="23"/>
      <c r="C10" s="2">
        <f>SUBTOTAL(9,C2:C9)</f>
        <v>5514.16</v>
      </c>
      <c r="D10" s="2">
        <f>SUBTOTAL(9,D2:D9)</f>
        <v>4260.0600000000004</v>
      </c>
      <c r="E10" s="2">
        <f t="shared" ref="E10:L10" si="3">SUBTOTAL(9,E2:E9)</f>
        <v>5972.0669999999991</v>
      </c>
      <c r="F10" s="2">
        <f t="shared" si="3"/>
        <v>2266.6999999999998</v>
      </c>
      <c r="G10" s="2">
        <f t="shared" si="3"/>
        <v>3705.3670000000002</v>
      </c>
      <c r="H10" s="2">
        <f t="shared" si="3"/>
        <v>3820.7530000000002</v>
      </c>
      <c r="I10" s="2">
        <f t="shared" si="3"/>
        <v>3058.049</v>
      </c>
      <c r="J10" s="2">
        <f t="shared" si="3"/>
        <v>762.70400000000006</v>
      </c>
      <c r="K10" s="2">
        <f t="shared" si="3"/>
        <v>5324.7489999999998</v>
      </c>
      <c r="L10" s="2">
        <f t="shared" si="3"/>
        <v>11048.146799999999</v>
      </c>
    </row>
    <row r="11" spans="1:12" outlineLevel="2" x14ac:dyDescent="0.3">
      <c r="A11" s="5">
        <v>2024</v>
      </c>
      <c r="B11" s="5" t="s">
        <v>21</v>
      </c>
      <c r="C11" s="6">
        <v>1175.48</v>
      </c>
      <c r="D11" s="6">
        <v>1217.1600000000001</v>
      </c>
      <c r="E11" s="6">
        <f t="shared" si="0"/>
        <v>1345.1</v>
      </c>
      <c r="F11" s="6">
        <v>386.2</v>
      </c>
      <c r="G11" s="6">
        <v>958.9</v>
      </c>
      <c r="H11" s="6">
        <v>983.15</v>
      </c>
      <c r="I11" s="6">
        <v>16.122</v>
      </c>
      <c r="J11" s="9">
        <f t="shared" si="1"/>
        <v>967.02800000000002</v>
      </c>
      <c r="K11" s="6">
        <f t="shared" si="2"/>
        <v>402.322</v>
      </c>
      <c r="L11" s="6">
        <v>1293.26</v>
      </c>
    </row>
    <row r="12" spans="1:12" outlineLevel="2" x14ac:dyDescent="0.3">
      <c r="A12" s="5">
        <v>2024</v>
      </c>
      <c r="B12" s="5" t="s">
        <v>22</v>
      </c>
      <c r="C12" s="6">
        <v>1189.5899999999999</v>
      </c>
      <c r="D12" s="6">
        <v>1622.88</v>
      </c>
      <c r="E12" s="6">
        <f t="shared" si="0"/>
        <v>1309.8</v>
      </c>
      <c r="F12" s="6">
        <v>417.7</v>
      </c>
      <c r="G12" s="6">
        <v>892.1</v>
      </c>
      <c r="H12" s="6">
        <v>921.92700000000002</v>
      </c>
      <c r="I12" s="18">
        <v>18.161999999999999</v>
      </c>
      <c r="J12" s="9">
        <f t="shared" si="1"/>
        <v>903.76499999999999</v>
      </c>
      <c r="K12" s="6">
        <f t="shared" si="2"/>
        <v>435.86199999999997</v>
      </c>
      <c r="L12" s="6">
        <v>1297.53</v>
      </c>
    </row>
    <row r="13" spans="1:12" outlineLevel="2" x14ac:dyDescent="0.3">
      <c r="A13" s="5">
        <v>2024</v>
      </c>
      <c r="B13" s="5" t="s">
        <v>23</v>
      </c>
      <c r="C13" s="6">
        <v>1204.71</v>
      </c>
      <c r="D13" s="6">
        <v>1521.45</v>
      </c>
      <c r="E13" s="6">
        <f t="shared" si="0"/>
        <v>1407.6999999999998</v>
      </c>
      <c r="F13" s="6">
        <v>412.4</v>
      </c>
      <c r="G13" s="6">
        <v>995.3</v>
      </c>
      <c r="H13" s="6">
        <v>1022.096</v>
      </c>
      <c r="I13" s="6">
        <v>16.567</v>
      </c>
      <c r="J13" s="9">
        <f t="shared" si="1"/>
        <v>1005.529</v>
      </c>
      <c r="K13" s="6">
        <f t="shared" si="2"/>
        <v>428.96699999999998</v>
      </c>
      <c r="L13" s="6">
        <v>1294.69</v>
      </c>
    </row>
    <row r="14" spans="1:12" outlineLevel="2" x14ac:dyDescent="0.3">
      <c r="A14" s="5">
        <v>2024</v>
      </c>
      <c r="B14" s="5" t="s">
        <v>24</v>
      </c>
      <c r="C14" s="6">
        <v>1247.3699999999999</v>
      </c>
      <c r="D14" s="6">
        <v>1521.45</v>
      </c>
      <c r="E14" s="6">
        <f t="shared" si="0"/>
        <v>1434.5</v>
      </c>
      <c r="F14" s="6">
        <v>460.4</v>
      </c>
      <c r="G14" s="6">
        <v>974.1</v>
      </c>
      <c r="H14" s="6">
        <v>1002.438</v>
      </c>
      <c r="I14" s="6">
        <v>16.492999999999999</v>
      </c>
      <c r="J14" s="9">
        <f t="shared" si="1"/>
        <v>985.94499999999994</v>
      </c>
      <c r="K14" s="6">
        <f t="shared" si="2"/>
        <v>476.89299999999997</v>
      </c>
      <c r="L14" s="6">
        <v>1297.75</v>
      </c>
    </row>
    <row r="15" spans="1:12" outlineLevel="2" x14ac:dyDescent="0.3">
      <c r="A15" s="5">
        <v>2024</v>
      </c>
      <c r="B15" s="5" t="s">
        <v>12</v>
      </c>
      <c r="C15" s="6">
        <v>1175.1199999999999</v>
      </c>
      <c r="D15" s="6">
        <v>1420.02</v>
      </c>
      <c r="E15" s="6">
        <f t="shared" si="0"/>
        <v>1443.9</v>
      </c>
      <c r="F15" s="6">
        <v>511.1</v>
      </c>
      <c r="G15" s="6">
        <v>932.8</v>
      </c>
      <c r="H15" s="6">
        <v>962.202</v>
      </c>
      <c r="I15" s="6">
        <v>17.863</v>
      </c>
      <c r="J15" s="9">
        <f t="shared" si="1"/>
        <v>944.33899999999994</v>
      </c>
      <c r="K15" s="6">
        <f t="shared" si="2"/>
        <v>528.96299999999997</v>
      </c>
      <c r="L15" s="6">
        <v>1302.27</v>
      </c>
    </row>
    <row r="16" spans="1:12" outlineLevel="2" x14ac:dyDescent="0.3">
      <c r="A16" s="5">
        <v>2024</v>
      </c>
      <c r="B16" s="5" t="s">
        <v>13</v>
      </c>
      <c r="C16" s="6">
        <v>998.16</v>
      </c>
      <c r="D16" s="6">
        <v>710.01</v>
      </c>
      <c r="E16" s="6">
        <f t="shared" si="0"/>
        <v>1066.0999999999999</v>
      </c>
      <c r="F16" s="6">
        <v>422.9</v>
      </c>
      <c r="G16" s="6">
        <v>643.20000000000005</v>
      </c>
      <c r="H16" s="6">
        <v>666.58299999999997</v>
      </c>
      <c r="I16" s="6">
        <v>50.424999999999997</v>
      </c>
      <c r="J16" s="9">
        <f t="shared" si="1"/>
        <v>616.15800000000002</v>
      </c>
      <c r="K16" s="6">
        <f t="shared" si="2"/>
        <v>473.32499999999999</v>
      </c>
      <c r="L16" s="6">
        <v>1649.92</v>
      </c>
    </row>
    <row r="17" spans="1:12" outlineLevel="2" x14ac:dyDescent="0.3">
      <c r="A17" s="5">
        <v>2024</v>
      </c>
      <c r="B17" s="5" t="s">
        <v>14</v>
      </c>
      <c r="C17" s="6">
        <v>718.45</v>
      </c>
      <c r="D17" s="6">
        <v>507.15</v>
      </c>
      <c r="E17" s="6">
        <f t="shared" si="0"/>
        <v>701.09999999999991</v>
      </c>
      <c r="F17" s="6">
        <v>353.7</v>
      </c>
      <c r="G17" s="6">
        <v>347.4</v>
      </c>
      <c r="H17" s="6">
        <v>365.83100000000002</v>
      </c>
      <c r="I17" s="6">
        <v>115.285</v>
      </c>
      <c r="J17" s="9">
        <f t="shared" si="1"/>
        <v>250.54600000000002</v>
      </c>
      <c r="K17" s="6">
        <f t="shared" si="2"/>
        <v>468.98500000000001</v>
      </c>
      <c r="L17" s="6">
        <v>1741.11</v>
      </c>
    </row>
    <row r="18" spans="1:12" outlineLevel="2" x14ac:dyDescent="0.3">
      <c r="A18" s="5">
        <v>2024</v>
      </c>
      <c r="B18" s="5" t="s">
        <v>15</v>
      </c>
      <c r="C18" s="6">
        <v>409.78</v>
      </c>
      <c r="D18" s="6">
        <v>202.86</v>
      </c>
      <c r="E18" s="6">
        <f t="shared" si="0"/>
        <v>337.70000000000005</v>
      </c>
      <c r="F18" s="6">
        <v>243.8</v>
      </c>
      <c r="G18" s="6">
        <v>93.9</v>
      </c>
      <c r="H18" s="6">
        <v>98.828999999999994</v>
      </c>
      <c r="I18" s="6">
        <v>878.40800000000002</v>
      </c>
      <c r="J18" s="9">
        <f t="shared" si="1"/>
        <v>-779.57900000000006</v>
      </c>
      <c r="K18" s="6">
        <f t="shared" si="2"/>
        <v>1122.2080000000001</v>
      </c>
      <c r="L18" s="6">
        <v>2832.86</v>
      </c>
    </row>
    <row r="19" spans="1:12" outlineLevel="2" x14ac:dyDescent="0.3">
      <c r="A19" s="5">
        <v>2024</v>
      </c>
      <c r="B19" s="5" t="s">
        <v>16</v>
      </c>
      <c r="C19" s="6">
        <v>359.19</v>
      </c>
      <c r="D19" s="6">
        <v>202.86</v>
      </c>
      <c r="E19" s="6">
        <f t="shared" si="0"/>
        <v>347.6</v>
      </c>
      <c r="F19" s="6">
        <v>250.4</v>
      </c>
      <c r="G19" s="6">
        <v>97.2</v>
      </c>
      <c r="H19" s="6">
        <v>100.375</v>
      </c>
      <c r="I19" s="6">
        <v>1295.1310000000001</v>
      </c>
      <c r="J19" s="9">
        <f t="shared" si="1"/>
        <v>-1194.7560000000001</v>
      </c>
      <c r="K19" s="6">
        <f t="shared" si="2"/>
        <v>1545.5310000000002</v>
      </c>
      <c r="L19" s="6">
        <v>3424.93</v>
      </c>
    </row>
    <row r="20" spans="1:12" outlineLevel="2" x14ac:dyDescent="0.3">
      <c r="A20" s="5">
        <v>2024</v>
      </c>
      <c r="B20" s="5" t="s">
        <v>17</v>
      </c>
      <c r="C20" s="6">
        <v>378.48</v>
      </c>
      <c r="D20" s="6">
        <v>202.86</v>
      </c>
      <c r="E20" s="6">
        <f t="shared" si="0"/>
        <v>312.89999999999998</v>
      </c>
      <c r="F20" s="6">
        <v>234.7</v>
      </c>
      <c r="G20" s="6">
        <v>78.2</v>
      </c>
      <c r="H20" s="6">
        <v>81.715999999999994</v>
      </c>
      <c r="I20" s="6">
        <v>1520.4559999999999</v>
      </c>
      <c r="J20" s="9">
        <f t="shared" si="1"/>
        <v>-1438.74</v>
      </c>
      <c r="K20" s="6">
        <f t="shared" si="2"/>
        <v>1755.1559999999999</v>
      </c>
      <c r="L20" s="6">
        <v>3449.65</v>
      </c>
    </row>
    <row r="21" spans="1:12" outlineLevel="2" x14ac:dyDescent="0.3">
      <c r="A21" s="5">
        <v>2024</v>
      </c>
      <c r="B21" s="5" t="s">
        <v>18</v>
      </c>
      <c r="C21" s="6">
        <v>583</v>
      </c>
      <c r="D21" s="6">
        <v>304.29000000000002</v>
      </c>
      <c r="E21" s="6">
        <f t="shared" si="0"/>
        <v>738.40000000000009</v>
      </c>
      <c r="F21" s="6">
        <v>462.6</v>
      </c>
      <c r="G21" s="6">
        <v>275.8</v>
      </c>
      <c r="H21" s="6">
        <v>280.97399999999999</v>
      </c>
      <c r="I21" s="6">
        <v>1376.258</v>
      </c>
      <c r="J21" s="9">
        <f t="shared" si="1"/>
        <v>-1095.2840000000001</v>
      </c>
      <c r="K21" s="6">
        <f t="shared" si="2"/>
        <v>1838.8580000000002</v>
      </c>
      <c r="L21" s="6">
        <v>3287.65</v>
      </c>
    </row>
    <row r="22" spans="1:12" outlineLevel="2" x14ac:dyDescent="0.3">
      <c r="A22" s="5">
        <v>2024</v>
      </c>
      <c r="B22" s="5" t="s">
        <v>19</v>
      </c>
      <c r="C22" s="6">
        <v>891.98</v>
      </c>
      <c r="D22" s="6">
        <v>710.01</v>
      </c>
      <c r="E22" s="6">
        <f t="shared" si="0"/>
        <v>1174.6999999999998</v>
      </c>
      <c r="F22" s="6">
        <v>555.29999999999995</v>
      </c>
      <c r="G22" s="6">
        <v>619.4</v>
      </c>
      <c r="H22" s="6">
        <v>630.86599999999999</v>
      </c>
      <c r="I22" s="6">
        <v>754.19200000000001</v>
      </c>
      <c r="J22" s="9">
        <f t="shared" si="1"/>
        <v>-123.32600000000002</v>
      </c>
      <c r="K22" s="6">
        <f t="shared" si="2"/>
        <v>1309.492</v>
      </c>
      <c r="L22" s="6">
        <v>2604.66</v>
      </c>
    </row>
    <row r="23" spans="1:12" s="7" customFormat="1" outlineLevel="1" x14ac:dyDescent="0.3">
      <c r="A23" s="22" t="s">
        <v>25</v>
      </c>
      <c r="B23" s="23"/>
      <c r="C23" s="2">
        <f>SUBTOTAL(9,C11:C22)</f>
        <v>10331.309999999998</v>
      </c>
      <c r="D23" s="2">
        <f>SUBTOTAL(9,D11:D22)</f>
        <v>10143.000000000002</v>
      </c>
      <c r="E23" s="2">
        <f>SUBTOTAL(9,E11:E22)</f>
        <v>11619.5</v>
      </c>
      <c r="F23" s="2">
        <f t="shared" ref="F23:I23" si="4">SUBTOTAL(9,F11:F22)</f>
        <v>4711.2</v>
      </c>
      <c r="G23" s="2">
        <f t="shared" si="4"/>
        <v>6908.2999999999984</v>
      </c>
      <c r="H23" s="2">
        <f t="shared" si="4"/>
        <v>7116.9870000000001</v>
      </c>
      <c r="I23" s="2">
        <f t="shared" si="4"/>
        <v>6075.3620000000001</v>
      </c>
      <c r="J23" s="2">
        <f>SUBTOTAL(9,J11:J22)</f>
        <v>1041.6250000000005</v>
      </c>
      <c r="K23" s="2">
        <f t="shared" ref="K23:L23" si="5">SUBTOTAL(9,K11:K22)</f>
        <v>10786.562</v>
      </c>
      <c r="L23" s="2">
        <f t="shared" si="5"/>
        <v>25476.280000000002</v>
      </c>
    </row>
    <row r="24" spans="1:12" outlineLevel="2" x14ac:dyDescent="0.3">
      <c r="A24" s="5">
        <v>2025</v>
      </c>
      <c r="B24" s="5" t="s">
        <v>21</v>
      </c>
      <c r="C24" s="6">
        <v>1175.48</v>
      </c>
      <c r="D24" s="6">
        <v>1217.1600000000001</v>
      </c>
      <c r="E24" s="6">
        <f t="shared" si="0"/>
        <v>1346.5</v>
      </c>
      <c r="F24" s="6">
        <v>518.4</v>
      </c>
      <c r="G24" s="6">
        <v>828.1</v>
      </c>
      <c r="H24" s="6">
        <v>847.57899999999995</v>
      </c>
      <c r="I24" s="6">
        <v>221.45599999999999</v>
      </c>
      <c r="J24" s="9">
        <f t="shared" ref="J24:J34" si="6">H24-I24</f>
        <v>626.12299999999993</v>
      </c>
      <c r="K24" s="6">
        <f t="shared" ref="K24:K33" si="7">F24+I24</f>
        <v>739.85599999999999</v>
      </c>
      <c r="L24" s="6">
        <v>2023.92</v>
      </c>
    </row>
    <row r="25" spans="1:12" outlineLevel="2" x14ac:dyDescent="0.3">
      <c r="A25" s="5">
        <v>2025</v>
      </c>
      <c r="B25" s="5" t="s">
        <v>22</v>
      </c>
      <c r="C25" s="6">
        <v>1189.5899999999999</v>
      </c>
      <c r="D25" s="6">
        <v>1622.88</v>
      </c>
      <c r="E25" s="6">
        <f t="shared" si="0"/>
        <v>1445</v>
      </c>
      <c r="F25" s="6">
        <v>467.9</v>
      </c>
      <c r="G25" s="6">
        <v>977.1</v>
      </c>
      <c r="H25" s="6">
        <v>1002.106</v>
      </c>
      <c r="I25" s="6">
        <v>23.928000000000001</v>
      </c>
      <c r="J25" s="9">
        <f t="shared" si="6"/>
        <v>978.178</v>
      </c>
      <c r="K25" s="6">
        <f t="shared" si="7"/>
        <v>491.82799999999997</v>
      </c>
      <c r="L25" s="6">
        <v>1805.76</v>
      </c>
    </row>
    <row r="26" spans="1:12" outlineLevel="2" x14ac:dyDescent="0.3">
      <c r="A26" s="5">
        <v>2025</v>
      </c>
      <c r="B26" s="5" t="s">
        <v>23</v>
      </c>
      <c r="C26" s="6">
        <v>1204.71</v>
      </c>
      <c r="D26" s="6">
        <v>1521.45</v>
      </c>
      <c r="E26" s="6">
        <f t="shared" si="0"/>
        <v>1537.8</v>
      </c>
      <c r="F26" s="6">
        <v>425.3</v>
      </c>
      <c r="G26" s="6">
        <v>1112.5</v>
      </c>
      <c r="H26" s="6">
        <v>1141.261</v>
      </c>
      <c r="I26" s="6">
        <v>25.663</v>
      </c>
      <c r="J26" s="9">
        <f t="shared" si="6"/>
        <v>1115.598</v>
      </c>
      <c r="K26" s="6">
        <f t="shared" si="7"/>
        <v>450.96300000000002</v>
      </c>
      <c r="L26" s="6">
        <v>1808.55</v>
      </c>
    </row>
    <row r="27" spans="1:12" outlineLevel="2" x14ac:dyDescent="0.3">
      <c r="A27" s="5">
        <v>2025</v>
      </c>
      <c r="B27" s="5" t="s">
        <v>24</v>
      </c>
      <c r="C27" s="6">
        <v>1247.3699999999999</v>
      </c>
      <c r="D27" s="6">
        <v>1521.45</v>
      </c>
      <c r="E27" s="6">
        <f t="shared" si="0"/>
        <v>1247.7</v>
      </c>
      <c r="F27" s="6">
        <v>462.5</v>
      </c>
      <c r="G27" s="6">
        <v>785.2</v>
      </c>
      <c r="H27" s="6">
        <v>811.83799999999997</v>
      </c>
      <c r="I27" s="6">
        <v>35.411000000000001</v>
      </c>
      <c r="J27" s="9">
        <f t="shared" si="6"/>
        <v>776.42699999999991</v>
      </c>
      <c r="K27" s="6">
        <f t="shared" si="7"/>
        <v>497.911</v>
      </c>
      <c r="L27" s="6">
        <v>1818.36</v>
      </c>
    </row>
    <row r="28" spans="1:12" outlineLevel="2" x14ac:dyDescent="0.3">
      <c r="A28" s="5">
        <v>2025</v>
      </c>
      <c r="B28" s="5" t="s">
        <v>12</v>
      </c>
      <c r="C28" s="6">
        <v>1175.1199999999999</v>
      </c>
      <c r="D28" s="6">
        <v>1420.02</v>
      </c>
      <c r="E28" s="6">
        <f t="shared" si="0"/>
        <v>1456.9</v>
      </c>
      <c r="F28" s="6">
        <v>442.2</v>
      </c>
      <c r="G28" s="6">
        <v>1014.7</v>
      </c>
      <c r="H28" s="6">
        <v>1044.7360000000001</v>
      </c>
      <c r="I28" s="6">
        <v>28.242000000000001</v>
      </c>
      <c r="J28" s="9">
        <f t="shared" si="6"/>
        <v>1016.4940000000001</v>
      </c>
      <c r="K28" s="6">
        <f t="shared" si="7"/>
        <v>470.44200000000001</v>
      </c>
      <c r="L28" s="6">
        <v>1810.74</v>
      </c>
    </row>
    <row r="29" spans="1:12" outlineLevel="2" x14ac:dyDescent="0.3">
      <c r="A29" s="5">
        <v>2025</v>
      </c>
      <c r="B29" s="5" t="s">
        <v>13</v>
      </c>
      <c r="C29" s="6">
        <v>998.16</v>
      </c>
      <c r="D29" s="6">
        <v>710.01</v>
      </c>
      <c r="E29" s="6">
        <f t="shared" si="0"/>
        <v>1044.9000000000001</v>
      </c>
      <c r="F29" s="6">
        <v>364.6</v>
      </c>
      <c r="G29" s="6">
        <v>680.3</v>
      </c>
      <c r="H29" s="6">
        <v>703.54399999999998</v>
      </c>
      <c r="I29" s="6">
        <v>68.034999999999997</v>
      </c>
      <c r="J29" s="9">
        <f t="shared" si="6"/>
        <v>635.50900000000001</v>
      </c>
      <c r="K29" s="6">
        <f t="shared" si="7"/>
        <v>432.63499999999999</v>
      </c>
      <c r="L29" s="6">
        <v>1858.12</v>
      </c>
    </row>
    <row r="30" spans="1:12" outlineLevel="2" x14ac:dyDescent="0.3">
      <c r="A30" s="5">
        <v>2025</v>
      </c>
      <c r="B30" s="5" t="s">
        <v>14</v>
      </c>
      <c r="C30" s="6">
        <v>718.45</v>
      </c>
      <c r="D30" s="6">
        <v>507.15</v>
      </c>
      <c r="E30" s="6">
        <f t="shared" si="0"/>
        <v>640.1</v>
      </c>
      <c r="F30" s="6">
        <v>391.2</v>
      </c>
      <c r="G30" s="6">
        <v>248.9</v>
      </c>
      <c r="H30" s="6">
        <v>264.79899999999998</v>
      </c>
      <c r="I30" s="6">
        <v>145.02699999999999</v>
      </c>
      <c r="J30" s="9">
        <f t="shared" si="6"/>
        <v>119.77199999999999</v>
      </c>
      <c r="K30" s="6">
        <f t="shared" si="7"/>
        <v>536.22699999999998</v>
      </c>
      <c r="L30" s="6">
        <v>1943.87</v>
      </c>
    </row>
    <row r="31" spans="1:12" outlineLevel="2" x14ac:dyDescent="0.3">
      <c r="A31" s="5">
        <v>2025</v>
      </c>
      <c r="B31" s="5" t="s">
        <v>15</v>
      </c>
      <c r="C31" s="6">
        <v>409.78</v>
      </c>
      <c r="D31" s="6">
        <v>202.86</v>
      </c>
      <c r="E31" s="6">
        <f t="shared" si="0"/>
        <v>451.90000000000003</v>
      </c>
      <c r="F31" s="6">
        <v>325.60000000000002</v>
      </c>
      <c r="G31" s="6">
        <v>126.3</v>
      </c>
      <c r="H31" s="6">
        <v>132.47</v>
      </c>
      <c r="I31" s="6">
        <v>1120.6199999999999</v>
      </c>
      <c r="J31" s="9">
        <f t="shared" si="6"/>
        <v>-988.14999999999986</v>
      </c>
      <c r="K31" s="6">
        <f t="shared" si="7"/>
        <v>1446.2199999999998</v>
      </c>
      <c r="L31" s="6">
        <v>3015.72</v>
      </c>
    </row>
    <row r="32" spans="1:12" outlineLevel="2" x14ac:dyDescent="0.3">
      <c r="A32" s="5">
        <v>2025</v>
      </c>
      <c r="B32" s="5" t="s">
        <v>16</v>
      </c>
      <c r="C32" s="6">
        <v>359.19</v>
      </c>
      <c r="D32" s="6">
        <v>202.86</v>
      </c>
      <c r="E32" s="6">
        <f t="shared" si="0"/>
        <v>303.8</v>
      </c>
      <c r="F32" s="6">
        <v>221</v>
      </c>
      <c r="G32" s="6">
        <v>82.8</v>
      </c>
      <c r="H32" s="6">
        <v>86.584000000000003</v>
      </c>
      <c r="I32" s="6">
        <v>1931.693</v>
      </c>
      <c r="J32" s="9">
        <f t="shared" si="6"/>
        <v>-1845.1089999999999</v>
      </c>
      <c r="K32" s="6">
        <f t="shared" si="7"/>
        <v>2152.6930000000002</v>
      </c>
      <c r="L32" s="6">
        <v>3900.37</v>
      </c>
    </row>
    <row r="33" spans="1:12" outlineLevel="2" x14ac:dyDescent="0.3">
      <c r="A33" s="5">
        <v>2025</v>
      </c>
      <c r="B33" s="5" t="s">
        <v>17</v>
      </c>
      <c r="C33" s="6">
        <v>378.48</v>
      </c>
      <c r="D33" s="6">
        <v>202.86</v>
      </c>
      <c r="E33" s="6">
        <f t="shared" si="0"/>
        <v>440.6</v>
      </c>
      <c r="F33" s="6">
        <v>353.7</v>
      </c>
      <c r="G33" s="6">
        <v>86.9</v>
      </c>
      <c r="H33" s="6">
        <v>90.828000000000003</v>
      </c>
      <c r="I33" s="6">
        <v>2469.931</v>
      </c>
      <c r="J33" s="9">
        <f t="shared" si="6"/>
        <v>-2379.1030000000001</v>
      </c>
      <c r="K33" s="6">
        <f t="shared" si="7"/>
        <v>2823.6309999999999</v>
      </c>
      <c r="L33" s="6">
        <v>2963.51</v>
      </c>
    </row>
    <row r="34" spans="1:12" outlineLevel="2" x14ac:dyDescent="0.3">
      <c r="A34" s="5">
        <v>2025</v>
      </c>
      <c r="B34" s="5" t="s">
        <v>18</v>
      </c>
      <c r="C34" s="6">
        <v>583</v>
      </c>
      <c r="D34" s="6">
        <v>304.29000000000002</v>
      </c>
      <c r="E34" s="6">
        <f t="shared" si="0"/>
        <v>644.9</v>
      </c>
      <c r="F34" s="6">
        <v>495.2</v>
      </c>
      <c r="G34" s="6">
        <v>149.69999999999999</v>
      </c>
      <c r="H34" s="21">
        <v>157.142</v>
      </c>
      <c r="I34" s="21">
        <v>1162.184</v>
      </c>
      <c r="J34" s="9">
        <f t="shared" si="6"/>
        <v>-1005.0419999999999</v>
      </c>
      <c r="K34" s="21">
        <f>F34+I34</f>
        <v>1657.384</v>
      </c>
      <c r="L34" s="6"/>
    </row>
    <row r="35" spans="1:12" outlineLevel="2" x14ac:dyDescent="0.3">
      <c r="A35" s="5">
        <v>2025</v>
      </c>
      <c r="B35" s="5" t="s">
        <v>19</v>
      </c>
      <c r="C35" s="6">
        <v>891.98</v>
      </c>
      <c r="D35" s="6">
        <v>710.01</v>
      </c>
      <c r="E35" s="6"/>
      <c r="F35" s="6"/>
      <c r="G35" s="6"/>
      <c r="H35" s="6"/>
      <c r="I35" s="6"/>
      <c r="J35" s="9"/>
      <c r="K35" s="6"/>
      <c r="L35" s="6"/>
    </row>
    <row r="36" spans="1:12" s="7" customFormat="1" outlineLevel="1" x14ac:dyDescent="0.3">
      <c r="A36" s="22" t="s">
        <v>26</v>
      </c>
      <c r="B36" s="23"/>
      <c r="C36" s="2">
        <f>SUBTOTAL(9,C24:C35)-SUBTOTAL(9,C34:C35)</f>
        <v>8856.3299999999981</v>
      </c>
      <c r="D36" s="2">
        <f>SUBTOTAL(9,D24:D35)-SUBTOTAL(9,D34:D35)</f>
        <v>9128.7000000000025</v>
      </c>
      <c r="E36" s="2">
        <f>SUBTOTAL(9,E24:E35)</f>
        <v>10560.099999999999</v>
      </c>
      <c r="F36" s="2">
        <f t="shared" ref="F36:L36" si="8">SUBTOTAL(9,F24:F35)</f>
        <v>4467.5999999999995</v>
      </c>
      <c r="G36" s="2">
        <f t="shared" si="8"/>
        <v>6092.4999999999991</v>
      </c>
      <c r="H36" s="2">
        <f t="shared" si="8"/>
        <v>6282.8869999999997</v>
      </c>
      <c r="I36" s="2">
        <f t="shared" si="8"/>
        <v>7232.19</v>
      </c>
      <c r="J36" s="2">
        <f t="shared" si="8"/>
        <v>-949.30299999999988</v>
      </c>
      <c r="K36" s="2">
        <f t="shared" si="8"/>
        <v>11699.79</v>
      </c>
      <c r="L36" s="2">
        <f t="shared" si="8"/>
        <v>22948.92</v>
      </c>
    </row>
    <row r="37" spans="1:12" s="7" customFormat="1" x14ac:dyDescent="0.3">
      <c r="A37" s="22" t="s">
        <v>27</v>
      </c>
      <c r="B37" s="23"/>
      <c r="C37" s="2">
        <f>SUBTOTAL(9,C2:C35)-SUBTOTAL(9,C25:C35)</f>
        <v>17020.949999999993</v>
      </c>
      <c r="D37" s="2">
        <f>SUBTOTAL(9,D2:D35)-SUBTOTAL(9,D25:D35)</f>
        <v>15620.22000000001</v>
      </c>
      <c r="E37" s="2">
        <f t="shared" ref="E37:L37" si="9">SUBTOTAL(9,E2:E35)</f>
        <v>28151.667000000001</v>
      </c>
      <c r="F37" s="2">
        <f t="shared" si="9"/>
        <v>11445.500000000002</v>
      </c>
      <c r="G37" s="2">
        <f t="shared" si="9"/>
        <v>16706.167000000005</v>
      </c>
      <c r="H37" s="2">
        <f t="shared" si="9"/>
        <v>17220.627</v>
      </c>
      <c r="I37" s="2">
        <f t="shared" si="9"/>
        <v>16365.601000000001</v>
      </c>
      <c r="J37" s="17">
        <f t="shared" si="9"/>
        <v>855.02600000000029</v>
      </c>
      <c r="K37" s="2">
        <f t="shared" si="9"/>
        <v>27811.101000000002</v>
      </c>
      <c r="L37" s="2">
        <f t="shared" si="9"/>
        <v>59473.346800000014</v>
      </c>
    </row>
  </sheetData>
  <mergeCells count="4">
    <mergeCell ref="A10:B10"/>
    <mergeCell ref="A23:B23"/>
    <mergeCell ref="A37:B37"/>
    <mergeCell ref="A36:B36"/>
  </mergeCells>
  <phoneticPr fontId="1" type="noConversion"/>
  <pageMargins left="0.7" right="0.7" top="0.75" bottom="0.75" header="0.3" footer="0.3"/>
  <pageSetup paperSize="9" orientation="portrait" r:id="rId1"/>
  <headerFooter>
    <oddFooter>&amp;C_x000D_&amp;1#&amp;"Arial"&amp;8&amp;K000000 Sensitivity Label: General</oddFooter>
  </headerFooter>
  <webPublishItems count="2">
    <webPublishItem id="17963" divId="fve_report_17963" sourceType="sheet" destinationFile="C:\Users\Pavel\OneDrive\Documents\FVE\fve_report.htm"/>
    <webPublishItem id="4815" divId="fve_report_4815" sourceType="range" sourceRef="A1:J37" destinationFile="C:\Users\Pavel\OneDrive\Documents\FVE\fve_report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26C5-EA21-463A-9B07-746FC71A3472}">
  <dimension ref="A1:U39"/>
  <sheetViews>
    <sheetView workbookViewId="0">
      <selection activeCell="S32" sqref="S32"/>
    </sheetView>
  </sheetViews>
  <sheetFormatPr defaultColWidth="9.140625" defaultRowHeight="18.75" x14ac:dyDescent="0.25"/>
  <cols>
    <col min="1" max="1" width="9.140625" style="10"/>
    <col min="2" max="2" width="10.7109375" style="10" bestFit="1" customWidth="1"/>
    <col min="3" max="3" width="4.140625" style="10" bestFit="1" customWidth="1"/>
    <col min="4" max="4" width="4.28515625" style="10" bestFit="1" customWidth="1"/>
    <col min="5" max="5" width="11.140625" style="10" bestFit="1" customWidth="1"/>
    <col min="6" max="6" width="7.7109375" style="10" bestFit="1" customWidth="1"/>
    <col min="7" max="7" width="8.42578125" style="10" bestFit="1" customWidth="1"/>
    <col min="8" max="8" width="9.140625" style="11"/>
    <col min="9" max="9" width="5.5703125" style="10" bestFit="1" customWidth="1"/>
    <col min="10" max="10" width="7" style="10" bestFit="1" customWidth="1"/>
    <col min="11" max="11" width="8.42578125" style="10" bestFit="1" customWidth="1"/>
    <col min="12" max="12" width="21" style="10" bestFit="1" customWidth="1"/>
    <col min="13" max="13" width="11" style="10" bestFit="1" customWidth="1"/>
    <col min="14" max="14" width="7" style="10" bestFit="1" customWidth="1"/>
    <col min="15" max="15" width="9.140625" style="11"/>
    <col min="16" max="16" width="9.140625" style="10"/>
    <col min="17" max="17" width="9.140625" style="11"/>
    <col min="18" max="18" width="12" style="10" bestFit="1" customWidth="1"/>
    <col min="19" max="20" width="9.140625" style="10"/>
    <col min="21" max="21" width="10.7109375" style="10" bestFit="1" customWidth="1"/>
    <col min="22" max="16384" width="9.140625" style="10"/>
  </cols>
  <sheetData>
    <row r="1" spans="1:20" x14ac:dyDescent="0.25">
      <c r="C1" s="24" t="s">
        <v>28</v>
      </c>
      <c r="D1" s="24"/>
      <c r="E1" s="24"/>
      <c r="F1" s="24"/>
      <c r="G1" s="24"/>
      <c r="H1" s="24"/>
      <c r="I1" s="24" t="s">
        <v>29</v>
      </c>
      <c r="J1" s="24"/>
      <c r="K1" s="24"/>
      <c r="L1" s="24"/>
      <c r="M1" s="24"/>
      <c r="N1" s="24"/>
      <c r="O1" s="24"/>
      <c r="P1" s="24" t="s">
        <v>30</v>
      </c>
      <c r="Q1" s="24"/>
      <c r="R1" s="24" t="s">
        <v>31</v>
      </c>
      <c r="S1" s="24"/>
      <c r="T1" s="24"/>
    </row>
    <row r="2" spans="1:20" ht="37.5" x14ac:dyDescent="0.25">
      <c r="C2" s="20" t="s">
        <v>32</v>
      </c>
      <c r="D2" s="20" t="s">
        <v>33</v>
      </c>
      <c r="E2" s="14" t="s">
        <v>34</v>
      </c>
      <c r="F2" s="20" t="s">
        <v>35</v>
      </c>
      <c r="G2" s="20" t="s">
        <v>31</v>
      </c>
      <c r="H2" s="15" t="s">
        <v>30</v>
      </c>
      <c r="I2" s="20" t="s">
        <v>32</v>
      </c>
      <c r="J2" s="20" t="s">
        <v>33</v>
      </c>
      <c r="K2" s="20" t="s">
        <v>36</v>
      </c>
      <c r="L2" s="14" t="s">
        <v>37</v>
      </c>
      <c r="M2" s="20" t="s">
        <v>38</v>
      </c>
      <c r="N2" s="20" t="s">
        <v>39</v>
      </c>
      <c r="O2" s="15" t="s">
        <v>30</v>
      </c>
      <c r="P2" s="20" t="s">
        <v>40</v>
      </c>
      <c r="Q2" s="15" t="s">
        <v>41</v>
      </c>
      <c r="R2" s="10" t="s">
        <v>42</v>
      </c>
      <c r="S2" s="10" t="s">
        <v>43</v>
      </c>
      <c r="T2" s="10" t="s">
        <v>9</v>
      </c>
    </row>
    <row r="3" spans="1:20" x14ac:dyDescent="0.25">
      <c r="A3" s="5">
        <v>2023</v>
      </c>
      <c r="B3" s="5" t="s">
        <v>12</v>
      </c>
      <c r="C3" s="12">
        <v>0</v>
      </c>
      <c r="D3" s="12">
        <v>0</v>
      </c>
      <c r="E3" s="12">
        <v>92.57</v>
      </c>
      <c r="F3" s="19">
        <v>0.82</v>
      </c>
      <c r="G3" s="12">
        <v>37.869999999999997</v>
      </c>
      <c r="H3" s="16">
        <f>SUM(C3:G3)</f>
        <v>131.26</v>
      </c>
      <c r="I3" s="12">
        <v>1.24</v>
      </c>
      <c r="J3" s="12">
        <v>4.5</v>
      </c>
      <c r="K3" s="12">
        <v>509.58</v>
      </c>
      <c r="L3" s="12">
        <v>3.29</v>
      </c>
      <c r="M3" s="12">
        <v>3.21</v>
      </c>
      <c r="N3" s="12">
        <v>0</v>
      </c>
      <c r="O3" s="16">
        <f>SUM(I3:N3)</f>
        <v>521.81999999999994</v>
      </c>
      <c r="P3" s="13">
        <f t="shared" ref="P3:P10" si="0">H3+O3</f>
        <v>653.07999999999993</v>
      </c>
      <c r="Q3" s="16">
        <f t="shared" ref="Q3:Q10" si="1">P3*1.21</f>
        <v>790.22679999999991</v>
      </c>
      <c r="R3" s="13">
        <v>908</v>
      </c>
      <c r="S3" s="13">
        <v>29</v>
      </c>
      <c r="T3" s="13">
        <f>R3-S3</f>
        <v>879</v>
      </c>
    </row>
    <row r="4" spans="1:20" x14ac:dyDescent="0.25">
      <c r="A4" s="5">
        <v>2023</v>
      </c>
      <c r="B4" s="5" t="s">
        <v>13</v>
      </c>
      <c r="C4" s="12">
        <v>0</v>
      </c>
      <c r="D4" s="12">
        <v>0</v>
      </c>
      <c r="E4" s="12">
        <v>99</v>
      </c>
      <c r="F4" s="19">
        <v>0.45</v>
      </c>
      <c r="G4" s="12">
        <v>40.5</v>
      </c>
      <c r="H4" s="16">
        <f t="shared" ref="H4:H32" si="2">SUM(C4:G4)</f>
        <v>139.94999999999999</v>
      </c>
      <c r="I4" s="12">
        <v>0.62</v>
      </c>
      <c r="J4" s="12">
        <v>2.52</v>
      </c>
      <c r="K4" s="12">
        <v>545</v>
      </c>
      <c r="L4" s="12">
        <v>1.82</v>
      </c>
      <c r="M4" s="12">
        <v>3.43</v>
      </c>
      <c r="N4" s="12">
        <v>0</v>
      </c>
      <c r="O4" s="16">
        <f t="shared" ref="O4:O24" si="3">SUM(I4:N4)</f>
        <v>553.39</v>
      </c>
      <c r="P4" s="13">
        <f t="shared" si="0"/>
        <v>693.33999999999992</v>
      </c>
      <c r="Q4" s="16">
        <f t="shared" si="1"/>
        <v>838.94139999999993</v>
      </c>
      <c r="R4" s="13">
        <v>1138</v>
      </c>
      <c r="S4" s="13">
        <v>16</v>
      </c>
      <c r="T4" s="13">
        <f t="shared" ref="T4:T21" si="4">R4-S4+T3</f>
        <v>2001</v>
      </c>
    </row>
    <row r="5" spans="1:20" x14ac:dyDescent="0.25">
      <c r="A5" s="5">
        <v>2023</v>
      </c>
      <c r="B5" s="5" t="s">
        <v>14</v>
      </c>
      <c r="C5" s="12">
        <v>0</v>
      </c>
      <c r="D5" s="12">
        <v>0</v>
      </c>
      <c r="E5" s="12">
        <v>99</v>
      </c>
      <c r="F5" s="19">
        <v>2.15</v>
      </c>
      <c r="G5" s="12">
        <v>81.819999999999993</v>
      </c>
      <c r="H5" s="16">
        <f t="shared" si="2"/>
        <v>182.97</v>
      </c>
      <c r="I5" s="12">
        <v>4.67</v>
      </c>
      <c r="J5" s="12">
        <v>10.98</v>
      </c>
      <c r="K5" s="12">
        <v>545</v>
      </c>
      <c r="L5" s="12">
        <v>8.6300000000000008</v>
      </c>
      <c r="M5" s="12">
        <v>3.43</v>
      </c>
      <c r="N5" s="12">
        <v>0</v>
      </c>
      <c r="O5" s="16">
        <f t="shared" si="3"/>
        <v>572.70999999999992</v>
      </c>
      <c r="P5" s="13">
        <f t="shared" si="0"/>
        <v>755.68</v>
      </c>
      <c r="Q5" s="16">
        <f t="shared" si="1"/>
        <v>914.37279999999987</v>
      </c>
      <c r="R5" s="13">
        <v>576</v>
      </c>
      <c r="S5" s="13">
        <v>76</v>
      </c>
      <c r="T5" s="13">
        <f t="shared" si="4"/>
        <v>2501</v>
      </c>
    </row>
    <row r="6" spans="1:20" x14ac:dyDescent="0.25">
      <c r="A6" s="5">
        <v>2023</v>
      </c>
      <c r="B6" s="5" t="s">
        <v>15</v>
      </c>
      <c r="C6" s="12">
        <v>0</v>
      </c>
      <c r="D6" s="12">
        <v>0</v>
      </c>
      <c r="E6" s="12">
        <v>99</v>
      </c>
      <c r="F6" s="19">
        <v>11.89</v>
      </c>
      <c r="G6" s="12">
        <v>123.14</v>
      </c>
      <c r="H6" s="16">
        <f t="shared" si="2"/>
        <v>234.03</v>
      </c>
      <c r="I6" s="12">
        <v>12.75</v>
      </c>
      <c r="J6" s="12">
        <v>68.209999999999994</v>
      </c>
      <c r="K6" s="12">
        <v>545</v>
      </c>
      <c r="L6" s="12">
        <v>47.68</v>
      </c>
      <c r="M6" s="12">
        <v>3.43</v>
      </c>
      <c r="N6" s="12">
        <v>0</v>
      </c>
      <c r="O6" s="16">
        <f t="shared" si="3"/>
        <v>677.06999999999994</v>
      </c>
      <c r="P6" s="13">
        <f t="shared" si="0"/>
        <v>911.09999999999991</v>
      </c>
      <c r="Q6" s="16">
        <f t="shared" si="1"/>
        <v>1102.4309999999998</v>
      </c>
      <c r="R6" s="13">
        <v>181</v>
      </c>
      <c r="S6" s="13">
        <v>420</v>
      </c>
      <c r="T6" s="13">
        <f t="shared" si="4"/>
        <v>2262</v>
      </c>
    </row>
    <row r="7" spans="1:20" x14ac:dyDescent="0.25">
      <c r="A7" s="5">
        <v>2023</v>
      </c>
      <c r="B7" s="5" t="s">
        <v>16</v>
      </c>
      <c r="C7" s="12">
        <v>0</v>
      </c>
      <c r="D7" s="12">
        <v>0</v>
      </c>
      <c r="E7" s="12">
        <v>99</v>
      </c>
      <c r="F7" s="19">
        <v>22.81</v>
      </c>
      <c r="G7" s="12">
        <v>123.14</v>
      </c>
      <c r="H7" s="16">
        <f t="shared" si="2"/>
        <v>244.95</v>
      </c>
      <c r="I7" s="12">
        <v>39.19</v>
      </c>
      <c r="J7" s="12">
        <v>122.39</v>
      </c>
      <c r="K7" s="12">
        <v>545</v>
      </c>
      <c r="L7" s="12">
        <v>91.51</v>
      </c>
      <c r="M7" s="12">
        <v>3.43</v>
      </c>
      <c r="N7" s="12">
        <v>0</v>
      </c>
      <c r="O7" s="16">
        <f t="shared" si="3"/>
        <v>801.51999999999987</v>
      </c>
      <c r="P7" s="13">
        <f t="shared" si="0"/>
        <v>1046.4699999999998</v>
      </c>
      <c r="Q7" s="16">
        <f t="shared" si="1"/>
        <v>1266.2286999999997</v>
      </c>
      <c r="R7" s="13">
        <v>118</v>
      </c>
      <c r="S7" s="13">
        <v>806</v>
      </c>
      <c r="T7" s="13">
        <f t="shared" si="4"/>
        <v>1574</v>
      </c>
    </row>
    <row r="8" spans="1:20" x14ac:dyDescent="0.25">
      <c r="A8" s="5">
        <v>2024</v>
      </c>
      <c r="B8" s="5" t="s">
        <v>17</v>
      </c>
      <c r="C8" s="12">
        <v>0</v>
      </c>
      <c r="D8" s="12">
        <v>0</v>
      </c>
      <c r="E8" s="12">
        <v>99</v>
      </c>
      <c r="F8" s="19">
        <v>28.84</v>
      </c>
      <c r="G8" s="12">
        <v>123.14</v>
      </c>
      <c r="H8" s="16">
        <f t="shared" si="2"/>
        <v>250.98000000000002</v>
      </c>
      <c r="I8" s="12">
        <f>25.3+66.81</f>
        <v>92.11</v>
      </c>
      <c r="J8" s="12">
        <f>110.84+273.37</f>
        <v>384.21000000000004</v>
      </c>
      <c r="K8" s="12">
        <f>221.88+504.39</f>
        <v>726.27</v>
      </c>
      <c r="L8" s="12">
        <f>62.14+154.72</f>
        <v>216.86</v>
      </c>
      <c r="M8" s="12">
        <f>1.47+2.67</f>
        <v>4.1399999999999997</v>
      </c>
      <c r="N8" s="12">
        <f>144.54+359.87</f>
        <v>504.40999999999997</v>
      </c>
      <c r="O8" s="16">
        <f t="shared" si="3"/>
        <v>1928.0000000000005</v>
      </c>
      <c r="P8" s="13">
        <f t="shared" si="0"/>
        <v>2178.9800000000005</v>
      </c>
      <c r="Q8" s="16">
        <f t="shared" si="1"/>
        <v>2636.5658000000003</v>
      </c>
      <c r="R8" s="13">
        <v>189</v>
      </c>
      <c r="S8" s="13">
        <f>142+877</f>
        <v>1019</v>
      </c>
      <c r="T8" s="13">
        <f t="shared" si="4"/>
        <v>744</v>
      </c>
    </row>
    <row r="9" spans="1:20" x14ac:dyDescent="0.25">
      <c r="A9" s="5">
        <v>2024</v>
      </c>
      <c r="B9" s="5" t="s">
        <v>18</v>
      </c>
      <c r="C9" s="12">
        <v>0</v>
      </c>
      <c r="D9" s="12">
        <v>0</v>
      </c>
      <c r="E9" s="12">
        <v>99</v>
      </c>
      <c r="F9" s="19">
        <v>13.81</v>
      </c>
      <c r="G9" s="12">
        <v>123.14</v>
      </c>
      <c r="H9" s="16">
        <f t="shared" si="2"/>
        <v>235.95</v>
      </c>
      <c r="I9" s="12">
        <v>46.7</v>
      </c>
      <c r="J9" s="12">
        <v>182.25</v>
      </c>
      <c r="K9" s="12">
        <v>782</v>
      </c>
      <c r="L9" s="12">
        <v>103.86</v>
      </c>
      <c r="M9" s="12">
        <v>4.1399999999999997</v>
      </c>
      <c r="N9" s="12">
        <v>241.56</v>
      </c>
      <c r="O9" s="16">
        <f t="shared" si="3"/>
        <v>1360.51</v>
      </c>
      <c r="P9" s="13">
        <f t="shared" si="0"/>
        <v>1596.46</v>
      </c>
      <c r="Q9" s="16">
        <f t="shared" si="1"/>
        <v>1931.7166</v>
      </c>
      <c r="R9" s="13">
        <v>182</v>
      </c>
      <c r="S9" s="13">
        <v>488</v>
      </c>
      <c r="T9" s="13">
        <f t="shared" si="4"/>
        <v>438</v>
      </c>
    </row>
    <row r="10" spans="1:20" x14ac:dyDescent="0.25">
      <c r="A10" s="5">
        <v>2024</v>
      </c>
      <c r="B10" s="5" t="s">
        <v>19</v>
      </c>
      <c r="C10" s="12">
        <v>0</v>
      </c>
      <c r="D10" s="12">
        <v>0</v>
      </c>
      <c r="E10" s="12">
        <v>99</v>
      </c>
      <c r="F10" s="19">
        <v>5.8</v>
      </c>
      <c r="G10" s="12">
        <v>164.46</v>
      </c>
      <c r="H10" s="16">
        <f t="shared" si="2"/>
        <v>269.26</v>
      </c>
      <c r="I10" s="12">
        <v>16.22</v>
      </c>
      <c r="J10" s="12">
        <v>78.86</v>
      </c>
      <c r="K10" s="12">
        <v>782</v>
      </c>
      <c r="L10" s="12">
        <v>43.63</v>
      </c>
      <c r="M10" s="12">
        <v>4.1399999999999997</v>
      </c>
      <c r="N10" s="12">
        <v>101.48</v>
      </c>
      <c r="O10" s="16">
        <f t="shared" si="3"/>
        <v>1026.33</v>
      </c>
      <c r="P10" s="13">
        <f t="shared" si="0"/>
        <v>1295.5899999999999</v>
      </c>
      <c r="Q10" s="16">
        <f t="shared" si="1"/>
        <v>1567.6638999999998</v>
      </c>
      <c r="R10" s="13">
        <v>530</v>
      </c>
      <c r="S10" s="13">
        <v>205</v>
      </c>
      <c r="T10" s="13">
        <f t="shared" si="4"/>
        <v>763</v>
      </c>
    </row>
    <row r="11" spans="1:20" x14ac:dyDescent="0.25">
      <c r="A11" s="5">
        <v>2024</v>
      </c>
      <c r="B11" s="10" t="s">
        <v>21</v>
      </c>
      <c r="C11" s="13">
        <v>0</v>
      </c>
      <c r="D11" s="13">
        <v>0</v>
      </c>
      <c r="E11" s="13">
        <v>99</v>
      </c>
      <c r="F11" s="19">
        <v>0.48</v>
      </c>
      <c r="G11" s="13">
        <v>164.46</v>
      </c>
      <c r="H11" s="16">
        <f t="shared" si="2"/>
        <v>263.94</v>
      </c>
      <c r="I11" s="13">
        <v>1.3</v>
      </c>
      <c r="J11" s="13">
        <v>6.13</v>
      </c>
      <c r="K11" s="13">
        <v>782</v>
      </c>
      <c r="L11" s="13">
        <v>3.41</v>
      </c>
      <c r="M11" s="13">
        <v>4.1399999999999997</v>
      </c>
      <c r="N11" s="13">
        <v>7.92</v>
      </c>
      <c r="O11" s="16">
        <f t="shared" si="3"/>
        <v>804.89999999999986</v>
      </c>
      <c r="P11" s="13">
        <f t="shared" ref="P11:P24" si="5">H11+O11</f>
        <v>1068.8399999999999</v>
      </c>
      <c r="Q11" s="16">
        <f t="shared" ref="Q11:Q24" si="6">P11*1.21</f>
        <v>1293.2963999999999</v>
      </c>
      <c r="R11" s="10">
        <v>983</v>
      </c>
      <c r="S11" s="10">
        <f>2+14</f>
        <v>16</v>
      </c>
      <c r="T11" s="13">
        <f t="shared" si="4"/>
        <v>1730</v>
      </c>
    </row>
    <row r="12" spans="1:20" x14ac:dyDescent="0.25">
      <c r="A12" s="5">
        <v>2024</v>
      </c>
      <c r="B12" s="10" t="s">
        <v>22</v>
      </c>
      <c r="C12" s="13">
        <v>0</v>
      </c>
      <c r="D12" s="13">
        <v>0</v>
      </c>
      <c r="E12" s="13">
        <v>99</v>
      </c>
      <c r="F12" s="19">
        <v>0.48</v>
      </c>
      <c r="G12" s="13">
        <v>164.46</v>
      </c>
      <c r="H12" s="16">
        <f t="shared" si="2"/>
        <v>263.94</v>
      </c>
      <c r="I12" s="13">
        <v>1.3</v>
      </c>
      <c r="J12" s="13">
        <v>7.45</v>
      </c>
      <c r="K12" s="10">
        <v>782</v>
      </c>
      <c r="L12" s="13">
        <v>4.04</v>
      </c>
      <c r="M12" s="13">
        <v>4.1399999999999997</v>
      </c>
      <c r="N12" s="13">
        <v>9.41</v>
      </c>
      <c r="O12" s="16">
        <f t="shared" si="3"/>
        <v>808.33999999999992</v>
      </c>
      <c r="P12" s="13">
        <f t="shared" si="5"/>
        <v>1072.28</v>
      </c>
      <c r="Q12" s="16">
        <f t="shared" si="6"/>
        <v>1297.4587999999999</v>
      </c>
      <c r="R12" s="10">
        <v>922</v>
      </c>
      <c r="S12" s="10">
        <f>17+2</f>
        <v>19</v>
      </c>
      <c r="T12" s="13">
        <f t="shared" si="4"/>
        <v>2633</v>
      </c>
    </row>
    <row r="13" spans="1:20" x14ac:dyDescent="0.25">
      <c r="A13" s="5">
        <v>2024</v>
      </c>
      <c r="B13" s="10" t="s">
        <v>23</v>
      </c>
      <c r="C13" s="13">
        <v>0</v>
      </c>
      <c r="D13" s="13">
        <v>0</v>
      </c>
      <c r="E13" s="13">
        <v>99</v>
      </c>
      <c r="F13" s="19">
        <v>0.48</v>
      </c>
      <c r="G13" s="13">
        <v>164.46</v>
      </c>
      <c r="H13" s="16">
        <f t="shared" si="2"/>
        <v>263.94</v>
      </c>
      <c r="I13" s="13">
        <v>1.3</v>
      </c>
      <c r="J13" s="13">
        <v>6.57</v>
      </c>
      <c r="K13" s="10">
        <v>782</v>
      </c>
      <c r="L13" s="13">
        <v>3.62</v>
      </c>
      <c r="M13" s="13">
        <v>4.1399999999999997</v>
      </c>
      <c r="N13" s="13">
        <v>8.42</v>
      </c>
      <c r="O13" s="16">
        <f t="shared" si="3"/>
        <v>806.05</v>
      </c>
      <c r="P13" s="13">
        <f t="shared" si="5"/>
        <v>1069.99</v>
      </c>
      <c r="Q13" s="16">
        <f t="shared" si="6"/>
        <v>1294.6878999999999</v>
      </c>
      <c r="R13" s="10">
        <v>1022</v>
      </c>
      <c r="S13" s="10">
        <f>15+2</f>
        <v>17</v>
      </c>
      <c r="T13" s="13">
        <f t="shared" si="4"/>
        <v>3638</v>
      </c>
    </row>
    <row r="14" spans="1:20" x14ac:dyDescent="0.25">
      <c r="A14" s="5">
        <v>2024</v>
      </c>
      <c r="B14" s="10" t="s">
        <v>24</v>
      </c>
      <c r="C14" s="10">
        <v>0</v>
      </c>
      <c r="D14" s="10">
        <v>0</v>
      </c>
      <c r="E14" s="10">
        <v>99</v>
      </c>
      <c r="F14" s="19">
        <v>0</v>
      </c>
      <c r="G14" s="13">
        <v>164.46</v>
      </c>
      <c r="H14" s="16">
        <f t="shared" si="2"/>
        <v>263.46000000000004</v>
      </c>
      <c r="I14" s="13">
        <v>0.65</v>
      </c>
      <c r="J14" s="13">
        <v>6.13</v>
      </c>
      <c r="K14" s="10">
        <v>782</v>
      </c>
      <c r="L14" s="13">
        <v>3.19</v>
      </c>
      <c r="M14" s="13">
        <v>9.24</v>
      </c>
      <c r="N14" s="13">
        <v>7.43</v>
      </c>
      <c r="O14" s="16">
        <f t="shared" si="3"/>
        <v>808.64</v>
      </c>
      <c r="P14" s="13">
        <f t="shared" si="5"/>
        <v>1072.0999999999999</v>
      </c>
      <c r="Q14" s="16">
        <f t="shared" si="6"/>
        <v>1297.2409999999998</v>
      </c>
      <c r="R14" s="19">
        <v>1002.44</v>
      </c>
      <c r="S14" s="10">
        <f>1+15</f>
        <v>16</v>
      </c>
      <c r="T14" s="13">
        <f t="shared" si="4"/>
        <v>4624.4400000000005</v>
      </c>
    </row>
    <row r="15" spans="1:20" x14ac:dyDescent="0.25">
      <c r="A15" s="5">
        <v>2024</v>
      </c>
      <c r="B15" s="10" t="s">
        <v>12</v>
      </c>
      <c r="C15" s="10">
        <v>0</v>
      </c>
      <c r="D15" s="10">
        <v>0</v>
      </c>
      <c r="E15" s="10">
        <v>99</v>
      </c>
      <c r="F15" s="19">
        <v>0.51</v>
      </c>
      <c r="G15" s="13">
        <v>164.46</v>
      </c>
      <c r="H15" s="16">
        <f t="shared" si="2"/>
        <v>263.97000000000003</v>
      </c>
      <c r="I15" s="13">
        <v>1.3</v>
      </c>
      <c r="J15" s="13">
        <v>7.01</v>
      </c>
      <c r="K15" s="10">
        <v>782</v>
      </c>
      <c r="L15" s="13">
        <v>3.83</v>
      </c>
      <c r="M15" s="13">
        <v>9.24</v>
      </c>
      <c r="N15" s="13">
        <v>8.91</v>
      </c>
      <c r="O15" s="16">
        <f t="shared" si="3"/>
        <v>812.29</v>
      </c>
      <c r="P15" s="13">
        <f t="shared" si="5"/>
        <v>1076.26</v>
      </c>
      <c r="Q15" s="16">
        <f t="shared" si="6"/>
        <v>1302.2746</v>
      </c>
      <c r="R15" s="19">
        <v>962.2</v>
      </c>
      <c r="S15" s="10">
        <f>2+16</f>
        <v>18</v>
      </c>
      <c r="T15" s="13">
        <f t="shared" si="4"/>
        <v>5568.64</v>
      </c>
    </row>
    <row r="16" spans="1:20" x14ac:dyDescent="0.25">
      <c r="A16" s="10">
        <v>2024</v>
      </c>
      <c r="B16" s="10" t="s">
        <v>13</v>
      </c>
      <c r="C16" s="10">
        <v>0</v>
      </c>
      <c r="D16" s="10">
        <v>0</v>
      </c>
      <c r="E16" s="10">
        <v>99</v>
      </c>
      <c r="F16" s="19">
        <v>1.44</v>
      </c>
      <c r="G16" s="13">
        <v>412.4</v>
      </c>
      <c r="H16" s="16">
        <f t="shared" si="2"/>
        <v>512.83999999999992</v>
      </c>
      <c r="I16" s="13">
        <v>3.24</v>
      </c>
      <c r="J16" s="13">
        <v>20.149999999999999</v>
      </c>
      <c r="K16" s="10">
        <v>782</v>
      </c>
      <c r="L16" s="13">
        <v>10.85</v>
      </c>
      <c r="M16" s="13">
        <v>9.24</v>
      </c>
      <c r="N16" s="13">
        <v>25.25</v>
      </c>
      <c r="O16" s="16">
        <f t="shared" si="3"/>
        <v>850.73</v>
      </c>
      <c r="P16" s="13">
        <f t="shared" si="5"/>
        <v>1363.57</v>
      </c>
      <c r="Q16" s="16">
        <f t="shared" si="6"/>
        <v>1649.9196999999999</v>
      </c>
      <c r="R16" s="19">
        <v>666.59</v>
      </c>
      <c r="S16" s="10">
        <f>5+46</f>
        <v>51</v>
      </c>
      <c r="T16" s="13">
        <f t="shared" si="4"/>
        <v>6184.2300000000005</v>
      </c>
    </row>
    <row r="17" spans="1:21" x14ac:dyDescent="0.25">
      <c r="A17" s="10">
        <v>2024</v>
      </c>
      <c r="B17" s="10" t="s">
        <v>14</v>
      </c>
      <c r="C17" s="10">
        <v>0</v>
      </c>
      <c r="D17" s="10">
        <v>0</v>
      </c>
      <c r="E17" s="10">
        <v>99</v>
      </c>
      <c r="F17" s="19">
        <v>3.25</v>
      </c>
      <c r="G17" s="13">
        <v>412.4</v>
      </c>
      <c r="H17" s="16">
        <f t="shared" si="2"/>
        <v>514.65</v>
      </c>
      <c r="I17" s="13">
        <v>3.89</v>
      </c>
      <c r="J17" s="13">
        <v>47.75</v>
      </c>
      <c r="K17" s="10">
        <v>782</v>
      </c>
      <c r="L17" s="13">
        <v>24.47</v>
      </c>
      <c r="M17" s="13">
        <v>9.24</v>
      </c>
      <c r="N17" s="13">
        <v>56.39</v>
      </c>
      <c r="O17" s="16">
        <f t="shared" si="3"/>
        <v>923.74</v>
      </c>
      <c r="P17" s="13">
        <f t="shared" si="5"/>
        <v>1438.3899999999999</v>
      </c>
      <c r="Q17" s="16">
        <f t="shared" si="6"/>
        <v>1740.4518999999998</v>
      </c>
      <c r="R17" s="19">
        <v>365.83</v>
      </c>
      <c r="S17" s="10">
        <f>109+6</f>
        <v>115</v>
      </c>
      <c r="T17" s="13">
        <f t="shared" si="4"/>
        <v>6435.06</v>
      </c>
      <c r="U17" s="13">
        <f t="shared" ref="U17:U23" si="7">T17-T16</f>
        <v>250.82999999999993</v>
      </c>
    </row>
    <row r="18" spans="1:21" x14ac:dyDescent="0.25">
      <c r="A18" s="10">
        <v>2024</v>
      </c>
      <c r="B18" s="10" t="s">
        <v>15</v>
      </c>
      <c r="C18" s="10">
        <v>0</v>
      </c>
      <c r="D18" s="10">
        <v>0</v>
      </c>
      <c r="E18" s="10">
        <v>99</v>
      </c>
      <c r="F18" s="19">
        <v>24.9</v>
      </c>
      <c r="G18" s="13">
        <v>412.4</v>
      </c>
      <c r="H18" s="16">
        <f t="shared" si="2"/>
        <v>536.29999999999995</v>
      </c>
      <c r="I18" s="13">
        <v>16.22</v>
      </c>
      <c r="J18" s="13">
        <v>374.57</v>
      </c>
      <c r="K18" s="10">
        <v>782</v>
      </c>
      <c r="L18" s="13">
        <v>187.28</v>
      </c>
      <c r="M18" s="13">
        <v>9.24</v>
      </c>
      <c r="N18" s="13">
        <v>435.6</v>
      </c>
      <c r="O18" s="16">
        <f t="shared" si="3"/>
        <v>1804.9099999999999</v>
      </c>
      <c r="P18" s="13">
        <f t="shared" si="5"/>
        <v>2341.21</v>
      </c>
      <c r="Q18" s="16">
        <f t="shared" si="6"/>
        <v>2832.8640999999998</v>
      </c>
      <c r="R18" s="19">
        <v>98.83</v>
      </c>
      <c r="S18" s="10">
        <f>25+855</f>
        <v>880</v>
      </c>
      <c r="T18" s="13">
        <f t="shared" si="4"/>
        <v>5653.89</v>
      </c>
      <c r="U18" s="13">
        <f t="shared" si="7"/>
        <v>-781.17000000000007</v>
      </c>
    </row>
    <row r="19" spans="1:21" x14ac:dyDescent="0.25">
      <c r="A19" s="10">
        <v>2024</v>
      </c>
      <c r="B19" s="10" t="s">
        <v>16</v>
      </c>
      <c r="C19" s="10">
        <v>0</v>
      </c>
      <c r="D19" s="10">
        <v>0</v>
      </c>
      <c r="E19" s="10">
        <v>99</v>
      </c>
      <c r="F19" s="19">
        <v>36.68</v>
      </c>
      <c r="G19" s="13">
        <v>412.4</v>
      </c>
      <c r="H19" s="16">
        <f t="shared" si="2"/>
        <v>548.07999999999993</v>
      </c>
      <c r="I19" s="13">
        <v>18.809999999999999</v>
      </c>
      <c r="J19" s="13">
        <v>555.05999999999995</v>
      </c>
      <c r="K19" s="10">
        <v>782</v>
      </c>
      <c r="L19" s="13">
        <v>275.81</v>
      </c>
      <c r="M19" s="13">
        <v>9.24</v>
      </c>
      <c r="N19" s="13">
        <v>641.52</v>
      </c>
      <c r="O19" s="16">
        <f t="shared" si="3"/>
        <v>2282.4399999999996</v>
      </c>
      <c r="P19" s="13">
        <f t="shared" si="5"/>
        <v>2830.5199999999995</v>
      </c>
      <c r="Q19" s="16">
        <f t="shared" si="6"/>
        <v>3424.9291999999991</v>
      </c>
      <c r="R19" s="19">
        <v>100.38</v>
      </c>
      <c r="S19" s="10">
        <f>29+1267</f>
        <v>1296</v>
      </c>
      <c r="T19" s="13">
        <f t="shared" si="4"/>
        <v>4458.2700000000004</v>
      </c>
      <c r="U19" s="13">
        <f t="shared" si="7"/>
        <v>-1195.6199999999999</v>
      </c>
    </row>
    <row r="20" spans="1:21" x14ac:dyDescent="0.25">
      <c r="A20" s="10">
        <v>2025</v>
      </c>
      <c r="B20" s="10" t="s">
        <v>17</v>
      </c>
      <c r="C20" s="10">
        <v>0</v>
      </c>
      <c r="D20" s="10">
        <v>0</v>
      </c>
      <c r="E20" s="10">
        <v>109</v>
      </c>
      <c r="F20" s="19">
        <v>43.02</v>
      </c>
      <c r="G20" s="13">
        <v>412.4</v>
      </c>
      <c r="H20" s="16">
        <f t="shared" si="2"/>
        <v>564.41999999999996</v>
      </c>
      <c r="I20" s="13">
        <v>17.309999999999999</v>
      </c>
      <c r="J20" s="13">
        <v>308.18</v>
      </c>
      <c r="K20" s="10">
        <v>938</v>
      </c>
      <c r="L20" s="13">
        <v>259.8</v>
      </c>
      <c r="M20" s="13">
        <v>10.84</v>
      </c>
      <c r="N20" s="13">
        <v>752.4</v>
      </c>
      <c r="O20" s="16">
        <f t="shared" si="3"/>
        <v>2286.5299999999997</v>
      </c>
      <c r="P20" s="13">
        <f t="shared" si="5"/>
        <v>2850.95</v>
      </c>
      <c r="Q20" s="16">
        <f t="shared" si="6"/>
        <v>3449.6494999999995</v>
      </c>
      <c r="R20" s="19">
        <v>81.72</v>
      </c>
      <c r="S20" s="10">
        <f>24+1496</f>
        <v>1520</v>
      </c>
      <c r="T20" s="13">
        <f t="shared" si="4"/>
        <v>3019.9900000000007</v>
      </c>
      <c r="U20" s="13">
        <f t="shared" si="7"/>
        <v>-1438.2799999999997</v>
      </c>
    </row>
    <row r="21" spans="1:21" x14ac:dyDescent="0.25">
      <c r="A21" s="10">
        <v>2025</v>
      </c>
      <c r="B21" s="10" t="s">
        <v>18</v>
      </c>
      <c r="C21" s="10">
        <v>0</v>
      </c>
      <c r="D21" s="10">
        <v>0</v>
      </c>
      <c r="E21" s="10">
        <v>109</v>
      </c>
      <c r="F21" s="19">
        <v>38.97</v>
      </c>
      <c r="G21" s="13">
        <v>412.4</v>
      </c>
      <c r="H21" s="16">
        <f t="shared" si="2"/>
        <v>560.37</v>
      </c>
      <c r="I21" s="13">
        <v>10.1</v>
      </c>
      <c r="J21" s="13">
        <v>280.77999999999997</v>
      </c>
      <c r="K21" s="10">
        <v>938</v>
      </c>
      <c r="L21" s="13">
        <v>235.36</v>
      </c>
      <c r="M21" s="13">
        <v>10.84</v>
      </c>
      <c r="N21" s="13">
        <v>681.62</v>
      </c>
      <c r="O21" s="16">
        <f t="shared" si="3"/>
        <v>2156.7000000000003</v>
      </c>
      <c r="P21" s="13">
        <f t="shared" si="5"/>
        <v>2717.07</v>
      </c>
      <c r="Q21" s="16">
        <f t="shared" si="6"/>
        <v>3287.6547</v>
      </c>
      <c r="R21" s="19">
        <v>280.97000000000003</v>
      </c>
      <c r="S21" s="10">
        <f>14+1363</f>
        <v>1377</v>
      </c>
      <c r="T21" s="13">
        <f t="shared" si="4"/>
        <v>1923.9600000000007</v>
      </c>
      <c r="U21" s="13">
        <f t="shared" si="7"/>
        <v>-1096.03</v>
      </c>
    </row>
    <row r="22" spans="1:21" x14ac:dyDescent="0.25">
      <c r="A22" s="10">
        <v>2025</v>
      </c>
      <c r="B22" s="10" t="s">
        <v>19</v>
      </c>
      <c r="C22" s="10">
        <v>0</v>
      </c>
      <c r="D22" s="10">
        <v>0</v>
      </c>
      <c r="E22" s="10">
        <v>109</v>
      </c>
      <c r="F22" s="19">
        <v>21.34</v>
      </c>
      <c r="G22" s="13">
        <v>412.4</v>
      </c>
      <c r="H22" s="16">
        <f t="shared" si="2"/>
        <v>542.74</v>
      </c>
      <c r="I22" s="13">
        <v>5.05</v>
      </c>
      <c r="J22" s="13">
        <v>153.88</v>
      </c>
      <c r="K22" s="10">
        <v>938</v>
      </c>
      <c r="L22" s="13">
        <v>128.87</v>
      </c>
      <c r="M22" s="13">
        <v>10.84</v>
      </c>
      <c r="N22" s="13">
        <v>373.23</v>
      </c>
      <c r="O22" s="16">
        <f t="shared" si="3"/>
        <v>1609.8700000000001</v>
      </c>
      <c r="P22" s="13">
        <f t="shared" si="5"/>
        <v>2152.61</v>
      </c>
      <c r="Q22" s="16">
        <f t="shared" si="6"/>
        <v>2604.6581000000001</v>
      </c>
      <c r="R22" s="19">
        <v>630.87</v>
      </c>
      <c r="S22" s="10">
        <f>7+747</f>
        <v>754</v>
      </c>
      <c r="T22" s="13">
        <f t="shared" ref="T22" si="8">R22-S22+T21</f>
        <v>1800.8300000000008</v>
      </c>
      <c r="U22" s="13">
        <f t="shared" si="7"/>
        <v>-123.12999999999988</v>
      </c>
    </row>
    <row r="23" spans="1:21" x14ac:dyDescent="0.25">
      <c r="A23" s="10">
        <v>2025</v>
      </c>
      <c r="B23" s="10" t="s">
        <v>21</v>
      </c>
      <c r="C23" s="10">
        <v>0</v>
      </c>
      <c r="D23" s="10">
        <v>0</v>
      </c>
      <c r="E23" s="10">
        <v>109</v>
      </c>
      <c r="F23" s="19">
        <v>6.28</v>
      </c>
      <c r="G23" s="13">
        <v>412.4</v>
      </c>
      <c r="H23" s="16">
        <f t="shared" si="2"/>
        <v>527.67999999999995</v>
      </c>
      <c r="I23" s="13">
        <v>3.61</v>
      </c>
      <c r="J23" s="13">
        <v>44.7</v>
      </c>
      <c r="K23" s="10">
        <v>938</v>
      </c>
      <c r="L23" s="13">
        <v>37.94</v>
      </c>
      <c r="M23" s="13">
        <v>10.84</v>
      </c>
      <c r="N23" s="13">
        <v>109.89</v>
      </c>
      <c r="O23" s="16">
        <f t="shared" si="3"/>
        <v>1144.98</v>
      </c>
      <c r="P23" s="13">
        <f t="shared" si="5"/>
        <v>1672.6599999999999</v>
      </c>
      <c r="Q23" s="16">
        <f t="shared" si="6"/>
        <v>2023.9185999999997</v>
      </c>
      <c r="R23" s="19">
        <v>847.58</v>
      </c>
      <c r="S23" s="10">
        <f>5+217</f>
        <v>222</v>
      </c>
      <c r="T23" s="13">
        <f t="shared" ref="T23" si="9">R23-S23+T22</f>
        <v>2426.4100000000008</v>
      </c>
      <c r="U23" s="13">
        <f t="shared" si="7"/>
        <v>625.57999999999993</v>
      </c>
    </row>
    <row r="24" spans="1:21" x14ac:dyDescent="0.25">
      <c r="A24" s="10">
        <v>2025</v>
      </c>
      <c r="B24" s="10" t="s">
        <v>22</v>
      </c>
      <c r="C24" s="10">
        <v>0</v>
      </c>
      <c r="D24" s="10">
        <v>0</v>
      </c>
      <c r="E24" s="10">
        <v>109</v>
      </c>
      <c r="F24" s="19">
        <v>0.68</v>
      </c>
      <c r="G24" s="13">
        <v>412.4</v>
      </c>
      <c r="H24" s="16">
        <f t="shared" si="2"/>
        <v>522.07999999999993</v>
      </c>
      <c r="I24" s="13">
        <v>0.72</v>
      </c>
      <c r="J24" s="13">
        <v>4.74</v>
      </c>
      <c r="K24" s="10">
        <v>938</v>
      </c>
      <c r="L24" s="13">
        <v>4.0999999999999996</v>
      </c>
      <c r="M24" s="13">
        <v>10.84</v>
      </c>
      <c r="N24" s="13">
        <v>11.88</v>
      </c>
      <c r="O24" s="16">
        <f t="shared" si="3"/>
        <v>970.28000000000009</v>
      </c>
      <c r="P24" s="13">
        <f t="shared" si="5"/>
        <v>1492.3600000000001</v>
      </c>
      <c r="Q24" s="16">
        <f t="shared" si="6"/>
        <v>1805.7556000000002</v>
      </c>
      <c r="R24" s="19">
        <v>1002.11</v>
      </c>
      <c r="S24" s="10">
        <f>1+23</f>
        <v>24</v>
      </c>
      <c r="T24" s="13">
        <f t="shared" ref="T24:T26" si="10">R24-S24+T23</f>
        <v>3404.5200000000009</v>
      </c>
      <c r="U24" s="13">
        <f t="shared" ref="U24:U26" si="11">T24-T23</f>
        <v>978.11000000000013</v>
      </c>
    </row>
    <row r="25" spans="1:21" x14ac:dyDescent="0.25">
      <c r="A25" s="10">
        <v>2025</v>
      </c>
      <c r="B25" s="10" t="s">
        <v>23</v>
      </c>
      <c r="C25" s="10">
        <v>0</v>
      </c>
      <c r="D25" s="10">
        <v>0</v>
      </c>
      <c r="E25" s="10">
        <v>109</v>
      </c>
      <c r="F25" s="19">
        <v>0.74</v>
      </c>
      <c r="G25" s="13">
        <v>412.4</v>
      </c>
      <c r="H25" s="16">
        <f t="shared" si="2"/>
        <v>522.14</v>
      </c>
      <c r="I25" s="13">
        <v>1.44</v>
      </c>
      <c r="J25" s="13">
        <v>4.9400000000000004</v>
      </c>
      <c r="K25" s="10">
        <v>938</v>
      </c>
      <c r="L25" s="13">
        <v>4.4400000000000004</v>
      </c>
      <c r="M25" s="13">
        <v>10.84</v>
      </c>
      <c r="N25" s="13">
        <v>12.87</v>
      </c>
      <c r="O25" s="16">
        <f t="shared" ref="O25:O26" si="12">SUM(I25:N25)</f>
        <v>972.53000000000009</v>
      </c>
      <c r="P25" s="13">
        <f t="shared" ref="P25:P26" si="13">H25+O25</f>
        <v>1494.67</v>
      </c>
      <c r="Q25" s="16">
        <f t="shared" ref="Q25:Q26" si="14">P25*1.21</f>
        <v>1808.5507</v>
      </c>
      <c r="R25" s="19">
        <v>1141.26</v>
      </c>
      <c r="S25" s="10">
        <f>2+24</f>
        <v>26</v>
      </c>
      <c r="T25" s="13">
        <f t="shared" si="10"/>
        <v>4519.7800000000007</v>
      </c>
      <c r="U25" s="13">
        <f t="shared" si="11"/>
        <v>1115.2599999999998</v>
      </c>
    </row>
    <row r="26" spans="1:21" x14ac:dyDescent="0.25">
      <c r="A26" s="10">
        <v>2025</v>
      </c>
      <c r="B26" s="10" t="s">
        <v>24</v>
      </c>
      <c r="C26" s="10">
        <v>0</v>
      </c>
      <c r="D26" s="10">
        <v>0</v>
      </c>
      <c r="E26" s="10">
        <v>109</v>
      </c>
      <c r="F26" s="19">
        <v>0.99</v>
      </c>
      <c r="G26" s="13">
        <v>412.4</v>
      </c>
      <c r="H26" s="16">
        <f t="shared" si="2"/>
        <v>522.39</v>
      </c>
      <c r="I26" s="13">
        <v>1.44</v>
      </c>
      <c r="J26" s="13">
        <v>6.8</v>
      </c>
      <c r="K26" s="10">
        <v>938</v>
      </c>
      <c r="L26" s="13">
        <v>5.98</v>
      </c>
      <c r="M26" s="13">
        <v>10.84</v>
      </c>
      <c r="N26" s="13">
        <v>17.329999999999998</v>
      </c>
      <c r="O26" s="16">
        <f t="shared" si="12"/>
        <v>980.3900000000001</v>
      </c>
      <c r="P26" s="13">
        <f t="shared" si="13"/>
        <v>1502.7800000000002</v>
      </c>
      <c r="Q26" s="16">
        <f t="shared" si="14"/>
        <v>1818.3638000000001</v>
      </c>
      <c r="R26" s="19">
        <v>811.84</v>
      </c>
      <c r="S26" s="10">
        <f>2+33</f>
        <v>35</v>
      </c>
      <c r="T26" s="13">
        <f t="shared" si="10"/>
        <v>5296.6200000000008</v>
      </c>
      <c r="U26" s="13">
        <f t="shared" si="11"/>
        <v>776.84000000000015</v>
      </c>
    </row>
    <row r="27" spans="1:21" x14ac:dyDescent="0.25">
      <c r="A27" s="10">
        <v>2025</v>
      </c>
      <c r="B27" s="10" t="s">
        <v>12</v>
      </c>
      <c r="C27" s="10">
        <v>0</v>
      </c>
      <c r="D27" s="10">
        <v>0</v>
      </c>
      <c r="E27" s="10">
        <v>109</v>
      </c>
      <c r="F27" s="19">
        <v>0.79</v>
      </c>
      <c r="G27" s="13">
        <v>412.4</v>
      </c>
      <c r="H27" s="16">
        <f t="shared" si="2"/>
        <v>522.18999999999994</v>
      </c>
      <c r="I27" s="13">
        <v>1.44</v>
      </c>
      <c r="J27" s="13">
        <v>5.36</v>
      </c>
      <c r="K27" s="10">
        <v>938</v>
      </c>
      <c r="L27" s="13">
        <v>4.79</v>
      </c>
      <c r="M27" s="13">
        <v>10.84</v>
      </c>
      <c r="N27" s="13">
        <v>13.86</v>
      </c>
      <c r="O27" s="16">
        <f t="shared" ref="O27:O32" si="15">SUM(I27:N27)</f>
        <v>974.29</v>
      </c>
      <c r="P27" s="13">
        <f t="shared" ref="P27:P32" si="16">H27+O27</f>
        <v>1496.48</v>
      </c>
      <c r="Q27" s="16">
        <f t="shared" ref="Q27:Q32" si="17">P27*1.21</f>
        <v>1810.7408</v>
      </c>
      <c r="R27" s="19">
        <v>1044.73</v>
      </c>
      <c r="S27" s="10">
        <f>2+26</f>
        <v>28</v>
      </c>
      <c r="T27" s="13">
        <f t="shared" ref="T27:T29" si="18">R27-S27+T26</f>
        <v>6313.35</v>
      </c>
      <c r="U27" s="13">
        <f t="shared" ref="U27:U29" si="19">T27-T26</f>
        <v>1016.7299999999996</v>
      </c>
    </row>
    <row r="28" spans="1:21" x14ac:dyDescent="0.25">
      <c r="A28" s="10">
        <v>2025</v>
      </c>
      <c r="B28" s="10" t="s">
        <v>13</v>
      </c>
      <c r="C28" s="10">
        <v>0</v>
      </c>
      <c r="D28" s="10">
        <v>0</v>
      </c>
      <c r="E28" s="10">
        <v>109</v>
      </c>
      <c r="F28" s="19">
        <v>1.92</v>
      </c>
      <c r="G28" s="13">
        <v>412.4</v>
      </c>
      <c r="H28" s="16">
        <f t="shared" si="2"/>
        <v>523.31999999999994</v>
      </c>
      <c r="I28" s="13">
        <v>3.61</v>
      </c>
      <c r="J28" s="13">
        <v>12.98</v>
      </c>
      <c r="K28" s="10">
        <v>938</v>
      </c>
      <c r="L28" s="13">
        <v>11.62</v>
      </c>
      <c r="M28" s="13">
        <v>12.45</v>
      </c>
      <c r="N28" s="13">
        <v>33.86</v>
      </c>
      <c r="O28" s="16">
        <f t="shared" si="15"/>
        <v>1012.5200000000001</v>
      </c>
      <c r="P28" s="13">
        <f t="shared" si="16"/>
        <v>1535.8400000000001</v>
      </c>
      <c r="Q28" s="16">
        <f t="shared" si="17"/>
        <v>1858.3664000000001</v>
      </c>
      <c r="R28" s="19">
        <v>703.54</v>
      </c>
      <c r="S28" s="10">
        <f>5+63</f>
        <v>68</v>
      </c>
      <c r="T28" s="13">
        <f t="shared" si="18"/>
        <v>6948.89</v>
      </c>
      <c r="U28" s="13">
        <f t="shared" si="19"/>
        <v>635.54</v>
      </c>
    </row>
    <row r="29" spans="1:21" x14ac:dyDescent="0.25">
      <c r="A29" s="10">
        <v>2025</v>
      </c>
      <c r="B29" s="10" t="s">
        <v>14</v>
      </c>
      <c r="C29" s="10">
        <v>0</v>
      </c>
      <c r="D29" s="10">
        <v>0</v>
      </c>
      <c r="E29" s="10">
        <v>109</v>
      </c>
      <c r="F29" s="19">
        <v>4.0999999999999996</v>
      </c>
      <c r="G29" s="13">
        <v>412.4</v>
      </c>
      <c r="H29" s="16">
        <f t="shared" si="2"/>
        <v>525.5</v>
      </c>
      <c r="I29" s="13">
        <v>5.77</v>
      </c>
      <c r="J29" s="13">
        <v>28.22</v>
      </c>
      <c r="K29" s="10">
        <v>938</v>
      </c>
      <c r="L29" s="13">
        <v>24.78</v>
      </c>
      <c r="M29" s="13">
        <v>12.45</v>
      </c>
      <c r="N29" s="13">
        <v>71.78</v>
      </c>
      <c r="O29" s="16">
        <f t="shared" si="15"/>
        <v>1081</v>
      </c>
      <c r="P29" s="13">
        <f t="shared" si="16"/>
        <v>1606.5</v>
      </c>
      <c r="Q29" s="16">
        <f t="shared" si="17"/>
        <v>1943.865</v>
      </c>
      <c r="R29" s="19">
        <v>264.79000000000002</v>
      </c>
      <c r="S29" s="10">
        <f>8+137</f>
        <v>145</v>
      </c>
      <c r="T29" s="13">
        <f t="shared" si="18"/>
        <v>7068.68</v>
      </c>
      <c r="U29" s="13">
        <f t="shared" si="19"/>
        <v>119.78999999999996</v>
      </c>
    </row>
    <row r="30" spans="1:21" x14ac:dyDescent="0.25">
      <c r="A30" s="10">
        <v>2025</v>
      </c>
      <c r="B30" s="10" t="s">
        <v>15</v>
      </c>
      <c r="C30" s="10">
        <v>0</v>
      </c>
      <c r="D30" s="10">
        <v>0</v>
      </c>
      <c r="E30" s="10">
        <v>109</v>
      </c>
      <c r="F30" s="19">
        <v>31.72</v>
      </c>
      <c r="G30" s="13">
        <v>412.4</v>
      </c>
      <c r="H30" s="16">
        <f t="shared" si="2"/>
        <v>553.12</v>
      </c>
      <c r="I30" s="13">
        <v>15.87</v>
      </c>
      <c r="J30" s="13">
        <v>226.39</v>
      </c>
      <c r="K30" s="10">
        <v>938</v>
      </c>
      <c r="L30" s="13">
        <v>191.6</v>
      </c>
      <c r="M30" s="13">
        <v>12.45</v>
      </c>
      <c r="N30" s="13">
        <v>554.9</v>
      </c>
      <c r="O30" s="16">
        <f t="shared" si="15"/>
        <v>1939.21</v>
      </c>
      <c r="P30" s="13">
        <f t="shared" si="16"/>
        <v>2492.33</v>
      </c>
      <c r="Q30" s="16">
        <f t="shared" si="17"/>
        <v>3015.7192999999997</v>
      </c>
      <c r="R30" s="19">
        <v>132.47</v>
      </c>
      <c r="S30" s="10">
        <f>22+1099</f>
        <v>1121</v>
      </c>
      <c r="T30" s="13">
        <f t="shared" ref="T30:T32" si="20">R30-S30+T29</f>
        <v>6080.1500000000005</v>
      </c>
      <c r="U30" s="13">
        <f t="shared" ref="U30:U32" si="21">T30-T29</f>
        <v>-988.52999999999975</v>
      </c>
    </row>
    <row r="31" spans="1:21" x14ac:dyDescent="0.25">
      <c r="A31" s="10">
        <v>2025</v>
      </c>
      <c r="B31" s="10" t="s">
        <v>16</v>
      </c>
      <c r="C31" s="10">
        <v>0</v>
      </c>
      <c r="D31" s="10">
        <v>0</v>
      </c>
      <c r="E31" s="10">
        <v>109</v>
      </c>
      <c r="F31" s="19">
        <v>54.68</v>
      </c>
      <c r="G31" s="13">
        <v>412.4</v>
      </c>
      <c r="H31" s="16">
        <f t="shared" si="2"/>
        <v>576.07999999999993</v>
      </c>
      <c r="I31" s="13">
        <v>17.309999999999999</v>
      </c>
      <c r="J31" s="13">
        <v>393.05</v>
      </c>
      <c r="K31" s="10">
        <v>938</v>
      </c>
      <c r="L31" s="13">
        <v>330.22</v>
      </c>
      <c r="M31" s="13">
        <v>12.45</v>
      </c>
      <c r="N31" s="13">
        <v>956.34</v>
      </c>
      <c r="O31" s="16">
        <f t="shared" si="15"/>
        <v>2647.3700000000003</v>
      </c>
      <c r="P31" s="13">
        <f t="shared" si="16"/>
        <v>3223.4500000000003</v>
      </c>
      <c r="Q31" s="16">
        <f t="shared" si="17"/>
        <v>3900.3745000000004</v>
      </c>
      <c r="R31" s="19">
        <v>86.58</v>
      </c>
      <c r="S31" s="10">
        <f>24+1908</f>
        <v>1932</v>
      </c>
      <c r="T31" s="13">
        <f t="shared" si="20"/>
        <v>4234.7300000000005</v>
      </c>
      <c r="U31" s="13">
        <f t="shared" si="21"/>
        <v>-1845.42</v>
      </c>
    </row>
    <row r="32" spans="1:21" x14ac:dyDescent="0.25">
      <c r="A32" s="10">
        <v>2026</v>
      </c>
      <c r="B32" s="10" t="s">
        <v>17</v>
      </c>
      <c r="C32" s="10">
        <v>0</v>
      </c>
      <c r="D32" s="10">
        <v>0</v>
      </c>
      <c r="E32" s="10">
        <v>109</v>
      </c>
      <c r="F32" s="19">
        <v>69.930000000000007</v>
      </c>
      <c r="G32" s="13">
        <v>412.4</v>
      </c>
      <c r="H32" s="16">
        <f t="shared" si="2"/>
        <v>591.32999999999993</v>
      </c>
      <c r="I32" s="13">
        <v>36.979999999999997</v>
      </c>
      <c r="J32" s="13">
        <v>282.16000000000003</v>
      </c>
      <c r="K32" s="10">
        <v>1110</v>
      </c>
      <c r="L32" s="13">
        <v>405.84</v>
      </c>
      <c r="M32" s="13">
        <v>12.87</v>
      </c>
      <c r="N32" s="13">
        <v>0</v>
      </c>
      <c r="O32" s="16">
        <f t="shared" si="15"/>
        <v>1847.85</v>
      </c>
      <c r="P32" s="13">
        <f t="shared" si="16"/>
        <v>2439.1799999999998</v>
      </c>
      <c r="Q32" s="16">
        <f t="shared" si="17"/>
        <v>2951.4077999999995</v>
      </c>
      <c r="R32" s="19">
        <v>90.83</v>
      </c>
      <c r="S32" s="10">
        <f>49+2422</f>
        <v>2471</v>
      </c>
      <c r="T32" s="13">
        <f t="shared" si="20"/>
        <v>1854.5600000000004</v>
      </c>
      <c r="U32" s="13">
        <f t="shared" si="21"/>
        <v>-2380.17</v>
      </c>
    </row>
    <row r="33" spans="1:20" x14ac:dyDescent="0.25">
      <c r="A33" s="10">
        <v>2026</v>
      </c>
      <c r="B33" s="10" t="s">
        <v>18</v>
      </c>
      <c r="F33" s="19"/>
      <c r="G33" s="13"/>
      <c r="H33" s="16"/>
      <c r="I33" s="13"/>
      <c r="J33" s="13"/>
      <c r="L33" s="13"/>
      <c r="M33" s="13"/>
      <c r="N33" s="13"/>
      <c r="O33" s="16"/>
      <c r="P33" s="13"/>
      <c r="Q33" s="16"/>
      <c r="R33" s="19"/>
      <c r="T33" s="13"/>
    </row>
    <row r="34" spans="1:20" x14ac:dyDescent="0.25">
      <c r="A34" s="10">
        <v>2026</v>
      </c>
      <c r="B34" s="10" t="s">
        <v>19</v>
      </c>
      <c r="F34" s="19"/>
      <c r="G34" s="13"/>
      <c r="H34" s="16"/>
      <c r="I34" s="13"/>
      <c r="J34" s="13"/>
      <c r="L34" s="13"/>
      <c r="M34" s="13"/>
      <c r="N34" s="13"/>
      <c r="O34" s="16"/>
      <c r="P34" s="13"/>
      <c r="Q34" s="16"/>
      <c r="R34" s="19"/>
      <c r="T34" s="13"/>
    </row>
    <row r="35" spans="1:20" x14ac:dyDescent="0.25">
      <c r="G35" s="13"/>
      <c r="H35" s="16"/>
      <c r="I35" s="13"/>
      <c r="J35" s="13"/>
      <c r="L35" s="13"/>
      <c r="M35" s="13"/>
      <c r="N35" s="13"/>
      <c r="O35" s="16"/>
      <c r="P35" s="13"/>
      <c r="Q35" s="16"/>
      <c r="T35" s="13"/>
    </row>
    <row r="36" spans="1:20" x14ac:dyDescent="0.25">
      <c r="G36" s="13"/>
      <c r="H36" s="16"/>
      <c r="I36" s="13"/>
      <c r="J36" s="13"/>
      <c r="L36" s="13"/>
      <c r="M36" s="13"/>
      <c r="N36" s="13"/>
      <c r="O36" s="16"/>
      <c r="P36" s="13"/>
      <c r="Q36" s="16"/>
      <c r="T36" s="13"/>
    </row>
    <row r="37" spans="1:20" x14ac:dyDescent="0.25">
      <c r="G37" s="13"/>
      <c r="H37" s="16"/>
      <c r="I37" s="13"/>
      <c r="J37" s="13"/>
      <c r="L37" s="13"/>
      <c r="M37" s="13"/>
      <c r="N37" s="13"/>
      <c r="O37" s="16"/>
      <c r="P37" s="13"/>
      <c r="Q37" s="16"/>
      <c r="T37" s="13"/>
    </row>
    <row r="38" spans="1:20" x14ac:dyDescent="0.25">
      <c r="G38" s="13"/>
      <c r="H38" s="16"/>
      <c r="I38" s="13"/>
      <c r="J38" s="13"/>
      <c r="L38" s="13"/>
      <c r="M38" s="13"/>
      <c r="N38" s="13"/>
      <c r="O38" s="16"/>
      <c r="P38" s="13"/>
      <c r="Q38" s="16"/>
      <c r="T38" s="13"/>
    </row>
    <row r="39" spans="1:20" x14ac:dyDescent="0.25">
      <c r="G39" s="13"/>
      <c r="H39" s="16"/>
      <c r="I39" s="13"/>
      <c r="J39" s="13"/>
      <c r="L39" s="13"/>
      <c r="M39" s="13"/>
      <c r="N39" s="13"/>
      <c r="O39" s="16"/>
      <c r="P39" s="13"/>
      <c r="Q39" s="16"/>
      <c r="T39" s="13"/>
    </row>
  </sheetData>
  <mergeCells count="4">
    <mergeCell ref="C1:H1"/>
    <mergeCell ref="I1:O1"/>
    <mergeCell ref="P1:Q1"/>
    <mergeCell ref="R1:T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fakturace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Rychetský</dc:creator>
  <cp:keywords/>
  <dc:description/>
  <cp:lastModifiedBy>Pavel Rychetský</cp:lastModifiedBy>
  <cp:revision/>
  <dcterms:created xsi:type="dcterms:W3CDTF">2015-06-05T18:19:34Z</dcterms:created>
  <dcterms:modified xsi:type="dcterms:W3CDTF">2026-03-05T13:13:27Z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37e5cc-ed1f-4ad6-a881-35c0f1c6f3d8_Enabled">
    <vt:lpwstr>true</vt:lpwstr>
  </property>
  <property fmtid="{D5CDD505-2E9C-101B-9397-08002B2CF9AE}" pid="3" name="MSIP_Label_4637e5cc-ed1f-4ad6-a881-35c0f1c6f3d8_SetDate">
    <vt:lpwstr>2023-11-23T15:31:30Z</vt:lpwstr>
  </property>
  <property fmtid="{D5CDD505-2E9C-101B-9397-08002B2CF9AE}" pid="4" name="MSIP_Label_4637e5cc-ed1f-4ad6-a881-35c0f1c6f3d8_Method">
    <vt:lpwstr>Standard</vt:lpwstr>
  </property>
  <property fmtid="{D5CDD505-2E9C-101B-9397-08002B2CF9AE}" pid="5" name="MSIP_Label_4637e5cc-ed1f-4ad6-a881-35c0f1c6f3d8_Name">
    <vt:lpwstr>General</vt:lpwstr>
  </property>
  <property fmtid="{D5CDD505-2E9C-101B-9397-08002B2CF9AE}" pid="6" name="MSIP_Label_4637e5cc-ed1f-4ad6-a881-35c0f1c6f3d8_SiteId">
    <vt:lpwstr>e3cf3c98-a978-465f-8254-9d541eeea73c</vt:lpwstr>
  </property>
  <property fmtid="{D5CDD505-2E9C-101B-9397-08002B2CF9AE}" pid="7" name="MSIP_Label_4637e5cc-ed1f-4ad6-a881-35c0f1c6f3d8_ActionId">
    <vt:lpwstr>62163178-d1be-4a13-abc6-78fcc2ce0889</vt:lpwstr>
  </property>
  <property fmtid="{D5CDD505-2E9C-101B-9397-08002B2CF9AE}" pid="8" name="MSIP_Label_4637e5cc-ed1f-4ad6-a881-35c0f1c6f3d8_ContentBits">
    <vt:lpwstr>2</vt:lpwstr>
  </property>
</Properties>
</file>